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2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Abu_Sarah/Downloads/Results/CaseStudy2/DifferentCost/"/>
    </mc:Choice>
  </mc:AlternateContent>
  <xr:revisionPtr revIDLastSave="0" documentId="13_ncr:1_{94CF6388-ADC4-4F48-87F9-5395A5154F9E}" xr6:coauthVersionLast="46" xr6:coauthVersionMax="46" xr10:uidLastSave="{00000000-0000-0000-0000-000000000000}"/>
  <bookViews>
    <workbookView xWindow="0" yWindow="460" windowWidth="25600" windowHeight="15540" activeTab="2" xr2:uid="{00000000-000D-0000-FFFF-FFFF00000000}"/>
  </bookViews>
  <sheets>
    <sheet name="90 s " sheetId="3" r:id="rId1"/>
    <sheet name="95 s" sheetId="4" r:id="rId2"/>
    <sheet name="99 s" sheetId="1" r:id="rId3"/>
  </sheets>
  <calcPr calcId="191029"/>
</workbook>
</file>

<file path=xl/calcChain.xml><?xml version="1.0" encoding="utf-8"?>
<calcChain xmlns="http://schemas.openxmlformats.org/spreadsheetml/2006/main">
  <c r="Y4" i="1" l="1"/>
  <c r="Y5" i="1"/>
  <c r="Y6" i="1"/>
  <c r="Y7" i="1"/>
  <c r="Y8" i="1"/>
  <c r="Y9" i="1"/>
  <c r="Y10" i="1"/>
  <c r="Y11" i="1"/>
  <c r="Y12" i="1"/>
  <c r="Y13" i="1"/>
  <c r="Y14" i="1"/>
  <c r="Y15" i="1"/>
  <c r="Y16" i="1"/>
  <c r="Y17" i="1"/>
  <c r="Y18" i="1"/>
  <c r="Y19" i="1"/>
  <c r="Y20" i="1"/>
  <c r="Y21" i="1"/>
  <c r="Y22" i="1"/>
  <c r="Y23" i="1"/>
  <c r="Y24" i="1"/>
  <c r="Y25" i="1"/>
  <c r="Y26" i="1"/>
  <c r="Y27" i="1"/>
  <c r="Y28" i="1"/>
  <c r="Y29" i="1"/>
  <c r="Y30" i="1"/>
  <c r="Y31" i="1"/>
  <c r="Y32" i="1"/>
  <c r="Y3" i="1"/>
  <c r="Y4" i="4"/>
  <c r="Y5" i="4"/>
  <c r="Y6" i="4"/>
  <c r="Y7" i="4"/>
  <c r="Y8" i="4"/>
  <c r="Y9" i="4"/>
  <c r="Y10" i="4"/>
  <c r="Y11" i="4"/>
  <c r="Y12" i="4"/>
  <c r="Y13" i="4"/>
  <c r="Y14" i="4"/>
  <c r="Y15" i="4"/>
  <c r="Y16" i="4"/>
  <c r="Y17" i="4"/>
  <c r="Y18" i="4"/>
  <c r="Y19" i="4"/>
  <c r="Y20" i="4"/>
  <c r="Y21" i="4"/>
  <c r="Y22" i="4"/>
  <c r="Y23" i="4"/>
  <c r="Y24" i="4"/>
  <c r="Y25" i="4"/>
  <c r="Y26" i="4"/>
  <c r="Y27" i="4"/>
  <c r="Y28" i="4"/>
  <c r="Y29" i="4"/>
  <c r="Y30" i="4"/>
  <c r="Y31" i="4"/>
  <c r="Y32" i="4"/>
  <c r="Y3" i="4"/>
  <c r="Y4" i="3"/>
  <c r="Y5" i="3"/>
  <c r="Y6" i="3"/>
  <c r="Y7" i="3"/>
  <c r="Y8" i="3"/>
  <c r="Y9" i="3"/>
  <c r="Y10" i="3"/>
  <c r="Y11" i="3"/>
  <c r="Y12" i="3"/>
  <c r="Y13" i="3"/>
  <c r="Y14" i="3"/>
  <c r="Y15" i="3"/>
  <c r="Y16" i="3"/>
  <c r="Y17" i="3"/>
  <c r="Y18" i="3"/>
  <c r="Y19" i="3"/>
  <c r="Y20" i="3"/>
  <c r="Y21" i="3"/>
  <c r="Y22" i="3"/>
  <c r="Y23" i="3"/>
  <c r="Y24" i="3"/>
  <c r="Y25" i="3"/>
  <c r="Y26" i="3"/>
  <c r="Y27" i="3"/>
  <c r="Y28" i="3"/>
  <c r="Y29" i="3"/>
  <c r="Y30" i="3"/>
  <c r="Y31" i="3"/>
  <c r="Y32" i="3"/>
  <c r="Y3" i="3"/>
  <c r="Y33" i="3" l="1"/>
  <c r="Q32" i="1" l="1"/>
  <c r="O32" i="1"/>
  <c r="R32" i="1" s="1"/>
  <c r="K32" i="1"/>
  <c r="P32" i="1" s="1"/>
  <c r="S32" i="1" s="1"/>
  <c r="R31" i="1"/>
  <c r="P31" i="1"/>
  <c r="M31" i="1"/>
  <c r="Q31" i="1" s="1"/>
  <c r="P30" i="1"/>
  <c r="O30" i="1"/>
  <c r="R30" i="1" s="1"/>
  <c r="M30" i="1"/>
  <c r="Q30" i="1" s="1"/>
  <c r="Q29" i="1"/>
  <c r="O29" i="1"/>
  <c r="R29" i="1" s="1"/>
  <c r="K29" i="1"/>
  <c r="P29" i="1" s="1"/>
  <c r="Q28" i="1"/>
  <c r="O28" i="1"/>
  <c r="R28" i="1" s="1"/>
  <c r="K28" i="1"/>
  <c r="P28" i="1" s="1"/>
  <c r="S27" i="1"/>
  <c r="Q26" i="1"/>
  <c r="P26" i="1"/>
  <c r="O26" i="1"/>
  <c r="R26" i="1" s="1"/>
  <c r="K26" i="1"/>
  <c r="S25" i="1"/>
  <c r="S24" i="1"/>
  <c r="R23" i="1"/>
  <c r="Q23" i="1"/>
  <c r="P23" i="1"/>
  <c r="S23" i="1" s="1"/>
  <c r="R22" i="1"/>
  <c r="Q22" i="1"/>
  <c r="P22" i="1"/>
  <c r="S21" i="1"/>
  <c r="S20" i="1"/>
  <c r="S19" i="1"/>
  <c r="S18" i="1"/>
  <c r="S17" i="1"/>
  <c r="R16" i="1"/>
  <c r="Q16" i="1"/>
  <c r="P16" i="1"/>
  <c r="R15" i="1"/>
  <c r="Q15" i="1"/>
  <c r="K15" i="1"/>
  <c r="P15" i="1" s="1"/>
  <c r="Q14" i="1"/>
  <c r="P14" i="1"/>
  <c r="O14" i="1"/>
  <c r="R14" i="1" s="1"/>
  <c r="R13" i="1"/>
  <c r="Q13" i="1"/>
  <c r="K13" i="1"/>
  <c r="P13" i="1" s="1"/>
  <c r="S13" i="1" s="1"/>
  <c r="Q12" i="1"/>
  <c r="P12" i="1"/>
  <c r="O12" i="1"/>
  <c r="R12" i="1" s="1"/>
  <c r="K12" i="1"/>
  <c r="R11" i="1"/>
  <c r="Q11" i="1"/>
  <c r="K11" i="1"/>
  <c r="P11" i="1" s="1"/>
  <c r="R10" i="1"/>
  <c r="Q10" i="1"/>
  <c r="P10" i="1"/>
  <c r="S10" i="1" s="1"/>
  <c r="R9" i="1"/>
  <c r="Q9" i="1"/>
  <c r="P9" i="1"/>
  <c r="R8" i="1"/>
  <c r="Q8" i="1"/>
  <c r="P8" i="1"/>
  <c r="M8" i="1"/>
  <c r="R7" i="1"/>
  <c r="Q7" i="1"/>
  <c r="P7" i="1"/>
  <c r="M7" i="1"/>
  <c r="R6" i="1"/>
  <c r="Q6" i="1"/>
  <c r="K6" i="1"/>
  <c r="P6" i="1" s="1"/>
  <c r="R5" i="1"/>
  <c r="M5" i="1"/>
  <c r="Q5" i="1" s="1"/>
  <c r="K5" i="1"/>
  <c r="P5" i="1" s="1"/>
  <c r="S5" i="1" s="1"/>
  <c r="R4" i="1"/>
  <c r="Q4" i="1"/>
  <c r="P4" i="1"/>
  <c r="S4" i="1" s="1"/>
  <c r="S3" i="1"/>
  <c r="Q32" i="4"/>
  <c r="P32" i="4"/>
  <c r="O32" i="4"/>
  <c r="R32" i="4" s="1"/>
  <c r="K32" i="4"/>
  <c r="R31" i="4"/>
  <c r="P31" i="4"/>
  <c r="M31" i="4"/>
  <c r="Q31" i="4" s="1"/>
  <c r="P30" i="4"/>
  <c r="O30" i="4"/>
  <c r="R30" i="4" s="1"/>
  <c r="M30" i="4"/>
  <c r="Q30" i="4" s="1"/>
  <c r="Q29" i="4"/>
  <c r="O29" i="4"/>
  <c r="R29" i="4" s="1"/>
  <c r="K29" i="4"/>
  <c r="P29" i="4" s="1"/>
  <c r="Q28" i="4"/>
  <c r="O28" i="4"/>
  <c r="R28" i="4" s="1"/>
  <c r="K28" i="4"/>
  <c r="P28" i="4" s="1"/>
  <c r="S27" i="4"/>
  <c r="Q26" i="4"/>
  <c r="O26" i="4"/>
  <c r="R26" i="4" s="1"/>
  <c r="K26" i="4"/>
  <c r="P26" i="4" s="1"/>
  <c r="S25" i="4"/>
  <c r="S24" i="4"/>
  <c r="R23" i="4"/>
  <c r="Q23" i="4"/>
  <c r="P23" i="4"/>
  <c r="R22" i="4"/>
  <c r="Q22" i="4"/>
  <c r="P22" i="4"/>
  <c r="S21" i="4"/>
  <c r="S20" i="4"/>
  <c r="S19" i="4"/>
  <c r="S18" i="4"/>
  <c r="S17" i="4"/>
  <c r="R16" i="4"/>
  <c r="Q16" i="4"/>
  <c r="P16" i="4"/>
  <c r="R15" i="4"/>
  <c r="Q15" i="4"/>
  <c r="K15" i="4"/>
  <c r="P15" i="4" s="1"/>
  <c r="Q14" i="4"/>
  <c r="P14" i="4"/>
  <c r="O14" i="4"/>
  <c r="R14" i="4" s="1"/>
  <c r="R13" i="4"/>
  <c r="Q13" i="4"/>
  <c r="K13" i="4"/>
  <c r="P13" i="4" s="1"/>
  <c r="R12" i="4"/>
  <c r="Q12" i="4"/>
  <c r="O12" i="4"/>
  <c r="K12" i="4"/>
  <c r="P12" i="4" s="1"/>
  <c r="R11" i="4"/>
  <c r="Q11" i="4"/>
  <c r="K11" i="4"/>
  <c r="P11" i="4" s="1"/>
  <c r="R10" i="4"/>
  <c r="Q10" i="4"/>
  <c r="P10" i="4"/>
  <c r="R9" i="4"/>
  <c r="Q9" i="4"/>
  <c r="P9" i="4"/>
  <c r="R8" i="4"/>
  <c r="P8" i="4"/>
  <c r="M8" i="4"/>
  <c r="Q8" i="4" s="1"/>
  <c r="R7" i="4"/>
  <c r="P7" i="4"/>
  <c r="M7" i="4"/>
  <c r="Q7" i="4" s="1"/>
  <c r="R6" i="4"/>
  <c r="Q6" i="4"/>
  <c r="K6" i="4"/>
  <c r="P6" i="4" s="1"/>
  <c r="R5" i="4"/>
  <c r="M5" i="4"/>
  <c r="Q5" i="4" s="1"/>
  <c r="K5" i="4"/>
  <c r="P5" i="4" s="1"/>
  <c r="R4" i="4"/>
  <c r="Q4" i="4"/>
  <c r="P4" i="4"/>
  <c r="S3" i="4"/>
  <c r="S3" i="3"/>
  <c r="S6" i="4" l="1"/>
  <c r="S11" i="4"/>
  <c r="S16" i="4"/>
  <c r="S5" i="4"/>
  <c r="S15" i="4"/>
  <c r="S7" i="4"/>
  <c r="S8" i="4"/>
  <c r="S13" i="4"/>
  <c r="S26" i="4"/>
  <c r="S23" i="4"/>
  <c r="S29" i="4"/>
  <c r="S31" i="4"/>
  <c r="S12" i="4"/>
  <c r="S14" i="4"/>
  <c r="S22" i="4"/>
  <c r="S28" i="4"/>
  <c r="S30" i="4"/>
  <c r="S4" i="4"/>
  <c r="S9" i="4"/>
  <c r="S10" i="4"/>
  <c r="S6" i="1"/>
  <c r="S7" i="1"/>
  <c r="S8" i="1"/>
  <c r="S15" i="1"/>
  <c r="S16" i="1"/>
  <c r="S11" i="1"/>
  <c r="S14" i="1"/>
  <c r="S26" i="1"/>
  <c r="S28" i="1"/>
  <c r="S12" i="1"/>
  <c r="S31" i="1"/>
  <c r="S9" i="1"/>
  <c r="S22" i="1"/>
  <c r="S29" i="1"/>
  <c r="S30" i="1"/>
  <c r="S32" i="4"/>
  <c r="R4" i="3"/>
  <c r="R5" i="3"/>
  <c r="R6" i="3"/>
  <c r="P4" i="3"/>
  <c r="R7" i="3" l="1"/>
  <c r="M31" i="3"/>
  <c r="Q31" i="3" s="1"/>
  <c r="R31" i="3"/>
  <c r="P31" i="3" l="1"/>
  <c r="W33" i="1" l="1"/>
  <c r="U33" i="1"/>
  <c r="Z32" i="1"/>
  <c r="AA32" i="1"/>
  <c r="Z31" i="1"/>
  <c r="AA31" i="1"/>
  <c r="Z30" i="1"/>
  <c r="AA30" i="1"/>
  <c r="Z29" i="1"/>
  <c r="AA29" i="1"/>
  <c r="Z28" i="1"/>
  <c r="AA28" i="1"/>
  <c r="Z27" i="1"/>
  <c r="AA27" i="1"/>
  <c r="Z26" i="1"/>
  <c r="AA26" i="1"/>
  <c r="Z25" i="1"/>
  <c r="AA25" i="1"/>
  <c r="Z24" i="1"/>
  <c r="AA24" i="1"/>
  <c r="Z23" i="1"/>
  <c r="AA23" i="1"/>
  <c r="Z22" i="1"/>
  <c r="AA22" i="1"/>
  <c r="Z21" i="1"/>
  <c r="AA21" i="1"/>
  <c r="Z20" i="1"/>
  <c r="AA20" i="1"/>
  <c r="Z19" i="1"/>
  <c r="AA19" i="1"/>
  <c r="Z18" i="1"/>
  <c r="AA18" i="1"/>
  <c r="Z17" i="1"/>
  <c r="AA17" i="1"/>
  <c r="Z16" i="1"/>
  <c r="AA16" i="1"/>
  <c r="Z15" i="1"/>
  <c r="AA15" i="1"/>
  <c r="Z14" i="1"/>
  <c r="AA14" i="1"/>
  <c r="Z13" i="1"/>
  <c r="AA13" i="1"/>
  <c r="Z12" i="1"/>
  <c r="AA12" i="1"/>
  <c r="Z11" i="1"/>
  <c r="AA11" i="1"/>
  <c r="Z10" i="1"/>
  <c r="AA10" i="1"/>
  <c r="Z9" i="1"/>
  <c r="AA9" i="1"/>
  <c r="Z8" i="1"/>
  <c r="AA8" i="1"/>
  <c r="Z7" i="1"/>
  <c r="AA7" i="1"/>
  <c r="Z6" i="1"/>
  <c r="AA6" i="1"/>
  <c r="Z5" i="1"/>
  <c r="AA5" i="1"/>
  <c r="Z4" i="1"/>
  <c r="AA4" i="1"/>
  <c r="Z3" i="1"/>
  <c r="W33" i="4"/>
  <c r="U33" i="4"/>
  <c r="Z32" i="4"/>
  <c r="AA32" i="4"/>
  <c r="Z31" i="4"/>
  <c r="AA31" i="4"/>
  <c r="Z30" i="4"/>
  <c r="AA30" i="4"/>
  <c r="Z29" i="4"/>
  <c r="AA29" i="4"/>
  <c r="Z28" i="4"/>
  <c r="AA28" i="4"/>
  <c r="Z27" i="4"/>
  <c r="AA27" i="4"/>
  <c r="Z26" i="4"/>
  <c r="AA26" i="4"/>
  <c r="Z25" i="4"/>
  <c r="AA25" i="4"/>
  <c r="Z24" i="4"/>
  <c r="AA24" i="4"/>
  <c r="Z23" i="4"/>
  <c r="AA23" i="4"/>
  <c r="Z22" i="4"/>
  <c r="AA22" i="4"/>
  <c r="Z21" i="4"/>
  <c r="AA21" i="4"/>
  <c r="Z20" i="4"/>
  <c r="AA20" i="4"/>
  <c r="Z19" i="4"/>
  <c r="AA19" i="4"/>
  <c r="Z18" i="4"/>
  <c r="AA18" i="4"/>
  <c r="Z17" i="4"/>
  <c r="AA17" i="4"/>
  <c r="Z16" i="4"/>
  <c r="AA16" i="4"/>
  <c r="Z15" i="4"/>
  <c r="AA15" i="4"/>
  <c r="Z14" i="4"/>
  <c r="AA14" i="4"/>
  <c r="Z13" i="4"/>
  <c r="AA13" i="4"/>
  <c r="Z12" i="4"/>
  <c r="AA12" i="4"/>
  <c r="Z11" i="4"/>
  <c r="Z10" i="4"/>
  <c r="AA10" i="4"/>
  <c r="Z9" i="4"/>
  <c r="AA9" i="4"/>
  <c r="Z8" i="4"/>
  <c r="AA8" i="4"/>
  <c r="Z7" i="4"/>
  <c r="AA7" i="4"/>
  <c r="Z6" i="4"/>
  <c r="AA6" i="4"/>
  <c r="Z5" i="4"/>
  <c r="AA5" i="4"/>
  <c r="Z4" i="4"/>
  <c r="AA4" i="4"/>
  <c r="Z3" i="4"/>
  <c r="AA37" i="4" s="1"/>
  <c r="K32" i="3"/>
  <c r="O32" i="3"/>
  <c r="O30" i="3"/>
  <c r="O29" i="3"/>
  <c r="O28" i="3"/>
  <c r="O26" i="3"/>
  <c r="O12" i="3"/>
  <c r="K12" i="3"/>
  <c r="K5" i="3"/>
  <c r="P5" i="3" s="1"/>
  <c r="M5" i="3"/>
  <c r="O14" i="3"/>
  <c r="AA3" i="4" l="1"/>
  <c r="Y33" i="4"/>
  <c r="AA33" i="1"/>
  <c r="AA35" i="1"/>
  <c r="AA36" i="1"/>
  <c r="AA37" i="1"/>
  <c r="Y33" i="1"/>
  <c r="V33" i="1"/>
  <c r="AA3" i="1"/>
  <c r="V33" i="4"/>
  <c r="S34" i="1"/>
  <c r="AA36" i="4"/>
  <c r="AA35" i="4"/>
  <c r="AA11" i="4"/>
  <c r="R8" i="3"/>
  <c r="R9" i="3"/>
  <c r="R10" i="3"/>
  <c r="R11" i="3"/>
  <c r="R12" i="3"/>
  <c r="R13" i="3"/>
  <c r="R14" i="3"/>
  <c r="R15" i="3"/>
  <c r="R22" i="3"/>
  <c r="R23" i="3"/>
  <c r="R28" i="3"/>
  <c r="R29" i="3"/>
  <c r="R32" i="3"/>
  <c r="AA38" i="1" l="1"/>
  <c r="AA33" i="4"/>
  <c r="AA34" i="4"/>
  <c r="AA34" i="1"/>
  <c r="S33" i="1"/>
  <c r="AA38" i="4"/>
  <c r="S34" i="4"/>
  <c r="S33" i="4"/>
  <c r="Z32" i="3" l="1"/>
  <c r="AA32" i="3"/>
  <c r="Q32" i="3"/>
  <c r="P32" i="3"/>
  <c r="Z31" i="3"/>
  <c r="AA31" i="3"/>
  <c r="S31" i="3"/>
  <c r="Z30" i="3"/>
  <c r="AA30" i="3"/>
  <c r="P30" i="3"/>
  <c r="R30" i="3"/>
  <c r="M30" i="3"/>
  <c r="Z29" i="3"/>
  <c r="AA29" i="3"/>
  <c r="Q29" i="3"/>
  <c r="K29" i="3"/>
  <c r="P29" i="3" s="1"/>
  <c r="Z28" i="3"/>
  <c r="Q28" i="3"/>
  <c r="K28" i="3"/>
  <c r="P28" i="3" s="1"/>
  <c r="Z27" i="3"/>
  <c r="AA27" i="3"/>
  <c r="S27" i="3"/>
  <c r="Z26" i="3"/>
  <c r="AA26" i="3"/>
  <c r="Q26" i="3"/>
  <c r="R26" i="3"/>
  <c r="K26" i="3"/>
  <c r="P26" i="3" s="1"/>
  <c r="Z25" i="3"/>
  <c r="AA25" i="3"/>
  <c r="Z24" i="3"/>
  <c r="AA24" i="3"/>
  <c r="S24" i="3"/>
  <c r="Z23" i="3"/>
  <c r="AA23" i="3"/>
  <c r="Q23" i="3"/>
  <c r="P23" i="3"/>
  <c r="Z22" i="3"/>
  <c r="AA22" i="3"/>
  <c r="Q22" i="3"/>
  <c r="P22" i="3"/>
  <c r="Z21" i="3"/>
  <c r="AA21" i="3"/>
  <c r="Z20" i="3"/>
  <c r="AA20" i="3"/>
  <c r="Z19" i="3"/>
  <c r="AA19" i="3"/>
  <c r="S19" i="3"/>
  <c r="Z18" i="3"/>
  <c r="AA18" i="3"/>
  <c r="S18" i="3"/>
  <c r="Z17" i="3"/>
  <c r="AA17" i="3"/>
  <c r="Z16" i="3"/>
  <c r="AA16" i="3"/>
  <c r="Q16" i="3"/>
  <c r="P16" i="3"/>
  <c r="Z15" i="3"/>
  <c r="AA15" i="3"/>
  <c r="Q15" i="3"/>
  <c r="K15" i="3"/>
  <c r="P15" i="3" s="1"/>
  <c r="Z14" i="3"/>
  <c r="AA14" i="3"/>
  <c r="Q14" i="3"/>
  <c r="P14" i="3"/>
  <c r="S14" i="3" s="1"/>
  <c r="Z13" i="3"/>
  <c r="AA13" i="3"/>
  <c r="Q13" i="3"/>
  <c r="K13" i="3"/>
  <c r="P13" i="3" s="1"/>
  <c r="S13" i="3" s="1"/>
  <c r="Z12" i="3"/>
  <c r="AA12" i="3"/>
  <c r="Q12" i="3"/>
  <c r="P12" i="3"/>
  <c r="S12" i="3" s="1"/>
  <c r="Z11" i="3"/>
  <c r="AA11" i="3"/>
  <c r="Q11" i="3"/>
  <c r="K11" i="3"/>
  <c r="P11" i="3" s="1"/>
  <c r="S11" i="3" s="1"/>
  <c r="Z10" i="3"/>
  <c r="AA10" i="3"/>
  <c r="Q10" i="3"/>
  <c r="P10" i="3"/>
  <c r="Z9" i="3"/>
  <c r="AA9" i="3"/>
  <c r="Q9" i="3"/>
  <c r="P9" i="3"/>
  <c r="S9" i="3" s="1"/>
  <c r="Z8" i="3"/>
  <c r="AA8" i="3"/>
  <c r="P8" i="3"/>
  <c r="M8" i="3"/>
  <c r="Z7" i="3"/>
  <c r="AA7" i="3"/>
  <c r="P7" i="3"/>
  <c r="M7" i="3"/>
  <c r="Z6" i="3"/>
  <c r="AA6" i="3"/>
  <c r="Q6" i="3"/>
  <c r="K6" i="3"/>
  <c r="P6" i="3" s="1"/>
  <c r="Z5" i="3"/>
  <c r="AA5" i="3"/>
  <c r="Q5" i="3"/>
  <c r="Z4" i="3"/>
  <c r="AA4" i="3"/>
  <c r="Q4" i="3"/>
  <c r="Z3" i="3"/>
  <c r="AA3" i="3"/>
  <c r="AA36" i="3" l="1"/>
  <c r="AA35" i="3"/>
  <c r="AA38" i="3" s="1"/>
  <c r="AA37" i="3"/>
  <c r="AA28" i="3"/>
  <c r="U33" i="3"/>
  <c r="AA34" i="3"/>
  <c r="AA33" i="3"/>
  <c r="W33" i="3"/>
  <c r="S15" i="3"/>
  <c r="S6" i="3"/>
  <c r="Q8" i="3"/>
  <c r="S8" i="3" s="1"/>
  <c r="Q7" i="3"/>
  <c r="S7" i="3" s="1"/>
  <c r="S23" i="3"/>
  <c r="S28" i="3"/>
  <c r="Q30" i="3"/>
  <c r="S4" i="3"/>
  <c r="S30" i="3"/>
  <c r="S20" i="3"/>
  <c r="S29" i="3"/>
  <c r="S5" i="3"/>
  <c r="S10" i="3"/>
  <c r="S21" i="3"/>
  <c r="S22" i="3"/>
  <c r="S32" i="3"/>
  <c r="R16" i="3"/>
  <c r="S16" i="3" s="1"/>
  <c r="S25" i="3"/>
  <c r="S17" i="3"/>
  <c r="S26" i="3"/>
  <c r="V33" i="3" l="1"/>
  <c r="S34" i="3"/>
  <c r="S33" i="3"/>
</calcChain>
</file>

<file path=xl/sharedStrings.xml><?xml version="1.0" encoding="utf-8"?>
<sst xmlns="http://schemas.openxmlformats.org/spreadsheetml/2006/main" count="373" uniqueCount="52">
  <si>
    <t>pAuthSUCC</t>
  </si>
  <si>
    <t>pNormShippingSUCC</t>
  </si>
  <si>
    <t>pExpShippingSUCC</t>
  </si>
  <si>
    <t>pPaymentSUCC</t>
  </si>
  <si>
    <t>prop1</t>
  </si>
  <si>
    <t>reqBound1</t>
  </si>
  <si>
    <t>prop2</t>
  </si>
  <si>
    <t>reqBound2</t>
  </si>
  <si>
    <t>prop3</t>
  </si>
  <si>
    <t>reqBound3</t>
  </si>
  <si>
    <t>reqSat1</t>
  </si>
  <si>
    <t>reqSat2</t>
  </si>
  <si>
    <t>reqSat3</t>
  </si>
  <si>
    <t>ID</t>
  </si>
  <si>
    <t>Non-Uniform</t>
  </si>
  <si>
    <t>Uniform</t>
  </si>
  <si>
    <t>obs2-obs1</t>
  </si>
  <si>
    <t>Best</t>
  </si>
  <si>
    <t>% additional obs for uniform</t>
  </si>
  <si>
    <t>obs1</t>
  </si>
  <si>
    <t>Decision</t>
  </si>
  <si>
    <t>obs2</t>
  </si>
  <si>
    <t>V</t>
  </si>
  <si>
    <t>S</t>
  </si>
  <si>
    <t>Total</t>
  </si>
  <si>
    <t>Diff =</t>
  </si>
  <si>
    <t>MEAN</t>
  </si>
  <si>
    <t>STANDARD DEVIATION</t>
  </si>
  <si>
    <t># of Uniform</t>
  </si>
  <si>
    <t># of Non-uniform</t>
  </si>
  <si>
    <t>equal</t>
  </si>
  <si>
    <t>Round Budget</t>
  </si>
  <si>
    <t>Seed</t>
  </si>
  <si>
    <t>same observation index</t>
  </si>
  <si>
    <t>yes</t>
  </si>
  <si>
    <t>cost1</t>
  </si>
  <si>
    <t>cost2</t>
  </si>
  <si>
    <t>cost3</t>
  </si>
  <si>
    <t>cost4</t>
  </si>
  <si>
    <t>E</t>
  </si>
  <si>
    <t>total obs for component 1 * cost of component 1</t>
  </si>
  <si>
    <t>total obs for component 2 * cost of component 2</t>
  </si>
  <si>
    <t>total obs for component 3 * cost of component 3</t>
  </si>
  <si>
    <t>total obs for component 4 * cost of component 4</t>
  </si>
  <si>
    <t>A</t>
  </si>
  <si>
    <t>B</t>
  </si>
  <si>
    <t>C</t>
  </si>
  <si>
    <t>D</t>
  </si>
  <si>
    <t>cost per comopnent</t>
  </si>
  <si>
    <t>Total 
cost</t>
  </si>
  <si>
    <t>Total
cost</t>
  </si>
  <si>
    <t>Full budget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</si>
</sst>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(* #,##0.00_);_(* \(#,##0.00\);_(* &quot;-&quot;??_);_(@_)"/>
  </numFmts>
  <fonts count="9" x14ac:knownFonts="1">
    <font>
      <sz val="11"/>
      <color indexed="8"/>
      <name val="Calibri"/>
      <family val="2"/>
      <scheme val="minor"/>
    </font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theme="0"/>
      <name val="Calibri (Body)"/>
    </font>
    <font>
      <sz val="11"/>
      <color theme="0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indexed="8"/>
      <name val="Calibri"/>
      <family val="2"/>
      <scheme val="minor"/>
    </font>
    <font>
      <sz val="8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rgb="FFC00000"/>
        <bgColor rgb="FF000000"/>
      </patternFill>
    </fill>
    <fill>
      <patternFill patternType="solid">
        <fgColor rgb="FFFCE5D7"/>
        <bgColor indexed="64"/>
      </patternFill>
    </fill>
    <fill>
      <patternFill patternType="solid">
        <fgColor rgb="FFFDC000"/>
        <bgColor indexed="64"/>
      </patternFill>
    </fill>
    <fill>
      <patternFill patternType="solid">
        <fgColor rgb="FFFED966"/>
        <bgColor indexed="64"/>
      </patternFill>
    </fill>
    <fill>
      <patternFill patternType="solid">
        <fgColor rgb="FFFF624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49998474074526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64">
    <xf numFmtId="0" fontId="0" fillId="0" borderId="0" xfId="0"/>
    <xf numFmtId="1" fontId="0" fillId="2" borderId="1" xfId="1" applyNumberFormat="1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1" fontId="5" fillId="3" borderId="1" xfId="1" applyNumberFormat="1" applyFont="1" applyFill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/>
    </xf>
    <xf numFmtId="43" fontId="6" fillId="4" borderId="1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1" fontId="0" fillId="0" borderId="0" xfId="0" applyNumberFormat="1" applyAlignment="1">
      <alignment horizontal="center" vertical="center"/>
    </xf>
    <xf numFmtId="0" fontId="0" fillId="5" borderId="1" xfId="0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6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1" fontId="0" fillId="2" borderId="1" xfId="0" applyNumberFormat="1" applyFill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0" fillId="8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1" fontId="0" fillId="2" borderId="1" xfId="0" applyNumberForma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2" fontId="0" fillId="5" borderId="1" xfId="0" applyNumberFormat="1" applyFill="1" applyBorder="1" applyAlignment="1">
      <alignment horizontal="center" vertical="center"/>
    </xf>
    <xf numFmtId="2" fontId="0" fillId="8" borderId="1" xfId="0" applyNumberFormat="1" applyFill="1" applyBorder="1" applyAlignment="1">
      <alignment horizontal="center" vertical="center"/>
    </xf>
    <xf numFmtId="0" fontId="0" fillId="5" borderId="1" xfId="0" applyNumberFormat="1" applyFill="1" applyBorder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2" fontId="0" fillId="0" borderId="0" xfId="0" applyNumberFormat="1"/>
    <xf numFmtId="0" fontId="6" fillId="4" borderId="1" xfId="0" applyNumberFormat="1" applyFont="1" applyFill="1" applyBorder="1" applyAlignment="1">
      <alignment horizontal="center" vertical="center"/>
    </xf>
    <xf numFmtId="0" fontId="5" fillId="3" borderId="1" xfId="0" applyNumberFormat="1" applyFont="1" applyFill="1" applyBorder="1" applyAlignment="1">
      <alignment horizontal="center" vertical="center"/>
    </xf>
    <xf numFmtId="0" fontId="0" fillId="0" borderId="0" xfId="0" applyNumberFormat="1" applyAlignment="1">
      <alignment horizontal="center" vertical="center"/>
    </xf>
    <xf numFmtId="0" fontId="7" fillId="5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9" borderId="1" xfId="0" applyFill="1" applyBorder="1" applyAlignment="1">
      <alignment horizontal="center" vertical="center"/>
    </xf>
    <xf numFmtId="2" fontId="0" fillId="9" borderId="1" xfId="0" applyNumberFormat="1" applyFill="1" applyBorder="1" applyAlignment="1">
      <alignment horizontal="center" vertical="center"/>
    </xf>
    <xf numFmtId="0" fontId="0" fillId="10" borderId="0" xfId="0" applyFill="1"/>
    <xf numFmtId="0" fontId="0" fillId="5" borderId="1" xfId="0" applyFill="1" applyBorder="1" applyAlignment="1">
      <alignment horizontal="center" vertical="center"/>
    </xf>
    <xf numFmtId="0" fontId="0" fillId="7" borderId="1" xfId="0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1" xfId="0" applyBorder="1" applyAlignment="1">
      <alignment horizontal="center" vertical="center"/>
    </xf>
    <xf numFmtId="3" fontId="0" fillId="0" borderId="1" xfId="0" applyNumberFormat="1" applyBorder="1" applyAlignment="1">
      <alignment horizontal="center" vertical="center"/>
    </xf>
    <xf numFmtId="3" fontId="0" fillId="8" borderId="1" xfId="0" applyNumberFormat="1" applyFill="1" applyBorder="1" applyAlignment="1">
      <alignment horizontal="center" vertical="center"/>
    </xf>
    <xf numFmtId="3" fontId="0" fillId="6" borderId="1" xfId="0" applyNumberFormat="1" applyFill="1" applyBorder="1" applyAlignment="1">
      <alignment horizontal="center" vertical="center"/>
    </xf>
    <xf numFmtId="0" fontId="0" fillId="5" borderId="1" xfId="0" applyFill="1" applyBorder="1" applyAlignment="1">
      <alignment horizontal="center" vertical="center"/>
    </xf>
    <xf numFmtId="0" fontId="3" fillId="5" borderId="1" xfId="0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5" borderId="1" xfId="0" applyFill="1" applyBorder="1" applyAlignment="1">
      <alignment horizontal="center" vertical="center" wrapText="1"/>
    </xf>
    <xf numFmtId="0" fontId="0" fillId="5" borderId="1" xfId="0" applyFill="1" applyBorder="1" applyAlignment="1">
      <alignment horizontal="center" vertical="center"/>
    </xf>
    <xf numFmtId="1" fontId="2" fillId="2" borderId="2" xfId="0" applyNumberFormat="1" applyFont="1" applyFill="1" applyBorder="1" applyAlignment="1">
      <alignment horizontal="center" vertical="center"/>
    </xf>
    <xf numFmtId="1" fontId="2" fillId="2" borderId="3" xfId="0" applyNumberFormat="1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1" fontId="0" fillId="2" borderId="2" xfId="0" applyNumberFormat="1" applyFill="1" applyBorder="1" applyAlignment="1">
      <alignment horizontal="center" vertical="center"/>
    </xf>
    <xf numFmtId="1" fontId="0" fillId="2" borderId="3" xfId="0" applyNumberForma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1" fontId="0" fillId="2" borderId="1" xfId="0" applyNumberFormat="1" applyFill="1" applyBorder="1" applyAlignment="1">
      <alignment horizontal="center" vertical="center"/>
    </xf>
    <xf numFmtId="2" fontId="2" fillId="2" borderId="2" xfId="0" applyNumberFormat="1" applyFont="1" applyFill="1" applyBorder="1" applyAlignment="1">
      <alignment horizontal="center" vertical="center"/>
    </xf>
    <xf numFmtId="2" fontId="2" fillId="2" borderId="3" xfId="0" applyNumberFormat="1" applyFont="1" applyFill="1" applyBorder="1" applyAlignment="1">
      <alignment horizontal="center" vertical="center"/>
    </xf>
  </cellXfs>
  <cellStyles count="2">
    <cellStyle name="Comma" xfId="1" builtinId="3"/>
    <cellStyle name="Normal" xfId="0" builtinId="0"/>
  </cellStyles>
  <dxfs count="3">
    <dxf>
      <font>
        <b/>
        <i val="0"/>
        <color rgb="FF0432FF"/>
      </font>
    </dxf>
    <dxf>
      <font>
        <b/>
        <i val="0"/>
        <color rgb="FF0432FF"/>
      </font>
    </dxf>
    <dxf>
      <font>
        <b/>
        <i val="0"/>
        <color rgb="FF0432FF"/>
      </font>
    </dxf>
  </dxfs>
  <tableStyles count="0" defaultTableStyle="TableStyleMedium2" defaultPivotStyle="PivotStyleLight16"/>
  <colors>
    <mruColors>
      <color rgb="FFFED966"/>
      <color rgb="FFFCE5D7"/>
      <color rgb="FFFF6241"/>
      <color rgb="FFFDC000"/>
      <color rgb="FFF90F01"/>
      <color rgb="FF43546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F0964E-1E9C-C44C-B20B-0DB735709CA2}">
  <dimension ref="A1:AM46"/>
  <sheetViews>
    <sheetView zoomScale="90" zoomScaleNormal="90" workbookViewId="0">
      <selection activeCell="A3" sqref="A3"/>
    </sheetView>
  </sheetViews>
  <sheetFormatPr baseColWidth="10" defaultColWidth="8.83203125" defaultRowHeight="15" x14ac:dyDescent="0.2"/>
  <cols>
    <col min="1" max="1" width="8.83203125" style="7"/>
    <col min="2" max="2" width="11.1640625" style="7" bestFit="1" customWidth="1"/>
    <col min="3" max="3" width="19.6640625" style="7" bestFit="1" customWidth="1"/>
    <col min="4" max="4" width="18" style="7" bestFit="1" customWidth="1"/>
    <col min="5" max="5" width="14.5" style="7" bestFit="1" customWidth="1"/>
    <col min="6" max="6" width="10.6640625" style="7" customWidth="1"/>
    <col min="7" max="7" width="10.1640625" style="7" customWidth="1"/>
    <col min="8" max="8" width="10.5" style="7" customWidth="1"/>
    <col min="9" max="9" width="9.1640625" style="7" customWidth="1"/>
    <col min="10" max="10" width="16.83203125" style="7" customWidth="1"/>
    <col min="11" max="11" width="17.6640625" style="7" customWidth="1"/>
    <col min="12" max="12" width="13.1640625" style="7" customWidth="1"/>
    <col min="13" max="13" width="12.1640625" style="7" customWidth="1"/>
    <col min="14" max="14" width="12.6640625" style="7" customWidth="1"/>
    <col min="15" max="15" width="14.5" style="7" customWidth="1"/>
    <col min="16" max="20" width="8.83203125" style="7"/>
    <col min="21" max="21" width="12.5" style="7" customWidth="1"/>
    <col min="22" max="22" width="7.5" style="7" customWidth="1"/>
    <col min="23" max="23" width="16" style="7" customWidth="1"/>
    <col min="24" max="24" width="6.6640625" style="7" customWidth="1"/>
    <col min="25" max="25" width="10.6640625" style="7" customWidth="1"/>
    <col min="26" max="26" width="11.5" style="7" customWidth="1"/>
    <col min="27" max="27" width="15.33203125" style="7" customWidth="1"/>
    <col min="28" max="28" width="8.83203125" style="7" customWidth="1"/>
    <col min="29" max="29" width="13.83203125" style="7" customWidth="1"/>
    <col min="30" max="30" width="18.33203125" style="7" customWidth="1"/>
    <col min="31" max="31" width="19" style="7" customWidth="1"/>
    <col min="32" max="32" width="17.1640625" style="7" customWidth="1"/>
    <col min="33" max="33" width="12.1640625" style="7" customWidth="1"/>
    <col min="34" max="34" width="8.83203125" style="7" customWidth="1"/>
    <col min="35" max="35" width="15.33203125" style="7" customWidth="1"/>
    <col min="36" max="37" width="17" style="7" customWidth="1"/>
    <col min="38" max="38" width="14.83203125" style="7" customWidth="1"/>
    <col min="39" max="39" width="15.6640625" style="7" customWidth="1"/>
    <col min="40" max="16384" width="8.83203125" style="7"/>
  </cols>
  <sheetData>
    <row r="1" spans="1:39" x14ac:dyDescent="0.2">
      <c r="A1" s="49" t="s">
        <v>13</v>
      </c>
      <c r="B1" s="49" t="s">
        <v>0</v>
      </c>
      <c r="C1" s="49" t="s">
        <v>1</v>
      </c>
      <c r="D1" s="49" t="s">
        <v>2</v>
      </c>
      <c r="E1" s="49" t="s">
        <v>3</v>
      </c>
      <c r="F1" s="44" t="s">
        <v>35</v>
      </c>
      <c r="G1" s="44" t="s">
        <v>36</v>
      </c>
      <c r="H1" s="44" t="s">
        <v>37</v>
      </c>
      <c r="I1" s="44" t="s">
        <v>38</v>
      </c>
      <c r="J1" s="49" t="s">
        <v>4</v>
      </c>
      <c r="K1" s="49" t="s">
        <v>5</v>
      </c>
      <c r="L1" s="49" t="s">
        <v>6</v>
      </c>
      <c r="M1" s="49" t="s">
        <v>7</v>
      </c>
      <c r="N1" s="44" t="s">
        <v>8</v>
      </c>
      <c r="O1" s="44" t="s">
        <v>9</v>
      </c>
      <c r="P1" s="44" t="s">
        <v>10</v>
      </c>
      <c r="Q1" s="44" t="s">
        <v>11</v>
      </c>
      <c r="R1" s="44" t="s">
        <v>12</v>
      </c>
      <c r="S1" s="44" t="s">
        <v>20</v>
      </c>
      <c r="T1" s="54" t="s">
        <v>13</v>
      </c>
      <c r="U1" s="56" t="s">
        <v>14</v>
      </c>
      <c r="V1" s="57"/>
      <c r="W1" s="56" t="s">
        <v>15</v>
      </c>
      <c r="X1" s="57"/>
      <c r="Y1" s="58" t="s">
        <v>16</v>
      </c>
      <c r="Z1" s="54" t="s">
        <v>17</v>
      </c>
      <c r="AA1" s="52" t="s">
        <v>18</v>
      </c>
      <c r="AB1" s="34"/>
      <c r="AC1" s="46" t="s">
        <v>48</v>
      </c>
      <c r="AD1" s="47"/>
      <c r="AE1" s="47"/>
      <c r="AF1" s="48"/>
      <c r="AG1" s="50" t="s">
        <v>49</v>
      </c>
      <c r="AI1" s="46" t="s">
        <v>48</v>
      </c>
      <c r="AJ1" s="47"/>
      <c r="AK1" s="47"/>
      <c r="AL1" s="48"/>
      <c r="AM1" s="50" t="s">
        <v>50</v>
      </c>
    </row>
    <row r="2" spans="1:39" x14ac:dyDescent="0.2">
      <c r="A2" s="49"/>
      <c r="B2" s="49"/>
      <c r="C2" s="49"/>
      <c r="D2" s="49"/>
      <c r="E2" s="49"/>
      <c r="F2" s="45"/>
      <c r="G2" s="45"/>
      <c r="H2" s="45"/>
      <c r="I2" s="45"/>
      <c r="J2" s="49"/>
      <c r="K2" s="49"/>
      <c r="L2" s="49"/>
      <c r="M2" s="49"/>
      <c r="N2" s="45"/>
      <c r="O2" s="45"/>
      <c r="P2" s="45"/>
      <c r="Q2" s="45"/>
      <c r="R2" s="45"/>
      <c r="S2" s="45"/>
      <c r="T2" s="55"/>
      <c r="U2" s="19" t="s">
        <v>19</v>
      </c>
      <c r="V2" s="18" t="s">
        <v>20</v>
      </c>
      <c r="W2" s="1" t="s">
        <v>21</v>
      </c>
      <c r="X2" s="18" t="s">
        <v>20</v>
      </c>
      <c r="Y2" s="59"/>
      <c r="Z2" s="55"/>
      <c r="AA2" s="53"/>
      <c r="AB2" s="34"/>
      <c r="AC2" s="38" t="s">
        <v>44</v>
      </c>
      <c r="AD2" s="38" t="s">
        <v>45</v>
      </c>
      <c r="AE2" s="38" t="s">
        <v>46</v>
      </c>
      <c r="AF2" s="38" t="s">
        <v>47</v>
      </c>
      <c r="AG2" s="51"/>
      <c r="AI2" s="38" t="s">
        <v>44</v>
      </c>
      <c r="AJ2" s="38" t="s">
        <v>45</v>
      </c>
      <c r="AK2" s="38" t="s">
        <v>46</v>
      </c>
      <c r="AL2" s="38" t="s">
        <v>47</v>
      </c>
      <c r="AM2" s="51"/>
    </row>
    <row r="3" spans="1:39" x14ac:dyDescent="0.2">
      <c r="A3" s="12">
        <v>1</v>
      </c>
      <c r="B3" s="12">
        <v>0.85</v>
      </c>
      <c r="C3" s="12">
        <v>0.85</v>
      </c>
      <c r="D3" s="12">
        <v>0.88</v>
      </c>
      <c r="E3" s="12">
        <v>0.8</v>
      </c>
      <c r="F3" s="20">
        <v>2.1</v>
      </c>
      <c r="G3" s="20">
        <v>4.4000000000000004</v>
      </c>
      <c r="H3" s="20">
        <v>2.6</v>
      </c>
      <c r="I3" s="20">
        <v>1.5</v>
      </c>
      <c r="J3" s="12">
        <v>0.50012920788864001</v>
      </c>
      <c r="K3" s="12">
        <v>0.47012145541532102</v>
      </c>
      <c r="L3" s="12">
        <v>0.23825809550975999</v>
      </c>
      <c r="M3" s="12">
        <v>0.20013680022819838</v>
      </c>
      <c r="N3" s="12">
        <v>3.1738703633599998</v>
      </c>
      <c r="O3" s="12">
        <v>2.9929597526484795</v>
      </c>
      <c r="P3" s="12" t="b">
        <v>1</v>
      </c>
      <c r="Q3" s="12" t="b">
        <v>0</v>
      </c>
      <c r="R3" s="12" t="b">
        <v>1</v>
      </c>
      <c r="S3" s="12" t="str">
        <f t="shared" ref="S3:S32" si="0">IF(OR(P3=FALSE,Q3=FALSE,R3=FALSE),"Violated","Satisfied")</f>
        <v>Violated</v>
      </c>
      <c r="T3" s="9">
        <v>1</v>
      </c>
      <c r="U3" s="9">
        <v>28000</v>
      </c>
      <c r="V3" s="9" t="s">
        <v>22</v>
      </c>
      <c r="W3" s="9">
        <v>32000</v>
      </c>
      <c r="X3" s="9" t="s">
        <v>22</v>
      </c>
      <c r="Y3" s="23">
        <f>W3-U3</f>
        <v>4000</v>
      </c>
      <c r="Z3" s="9" t="str">
        <f>IF(W3=U3,"equal",IF(W3&lt;U3,"Uniform","Non-Uniform"))</f>
        <v>Non-Uniform</v>
      </c>
      <c r="AA3" s="21">
        <f>(Y3*100)/U3</f>
        <v>14.285714285714286</v>
      </c>
      <c r="AB3" s="34"/>
      <c r="AC3" s="30">
        <v>18984</v>
      </c>
      <c r="AD3" s="30">
        <v>2543.2000000000003</v>
      </c>
      <c r="AE3" s="30">
        <v>2628.6</v>
      </c>
      <c r="AF3" s="30">
        <v>3798</v>
      </c>
      <c r="AG3" s="9">
        <v>27953.8</v>
      </c>
      <c r="AI3" s="30">
        <v>8001</v>
      </c>
      <c r="AJ3" s="30">
        <v>7964.0000000000009</v>
      </c>
      <c r="AK3" s="30">
        <v>7992.4000000000005</v>
      </c>
      <c r="AL3" s="30">
        <v>7995</v>
      </c>
      <c r="AM3" s="9">
        <v>31952.400000000001</v>
      </c>
    </row>
    <row r="4" spans="1:39" x14ac:dyDescent="0.2">
      <c r="A4" s="12">
        <v>2</v>
      </c>
      <c r="B4" s="12">
        <v>0.85</v>
      </c>
      <c r="C4" s="12">
        <v>0.87</v>
      </c>
      <c r="D4" s="12">
        <v>0.88</v>
      </c>
      <c r="E4" s="12">
        <v>0.8</v>
      </c>
      <c r="F4" s="20">
        <v>3.7</v>
      </c>
      <c r="G4" s="20">
        <v>1.9</v>
      </c>
      <c r="H4" s="20">
        <v>4.0999999999999996</v>
      </c>
      <c r="I4" s="20">
        <v>2</v>
      </c>
      <c r="J4" s="12">
        <v>0.50580295644595197</v>
      </c>
      <c r="K4" s="12">
        <v>0.46533871993027498</v>
      </c>
      <c r="L4" s="12">
        <v>0.23925934525516801</v>
      </c>
      <c r="M4" s="12">
        <v>0.22251119108730599</v>
      </c>
      <c r="N4" s="12">
        <v>3.1888891027519999</v>
      </c>
      <c r="O4" s="12">
        <v>3.2158891219996799</v>
      </c>
      <c r="P4" s="12" t="b">
        <f>IF(J4*1000&gt;K4*1000,TRUE,FALSE)</f>
        <v>1</v>
      </c>
      <c r="Q4" s="12" t="b">
        <f t="shared" ref="Q4:Q16" si="1">IF(L4*1000&lt;M4*1000,TRUE,FALSE)</f>
        <v>0</v>
      </c>
      <c r="R4" s="12" t="b">
        <f>IF(N4*1000&gt;O4*1000,TRUE,FALSE)</f>
        <v>0</v>
      </c>
      <c r="S4" s="12" t="str">
        <f t="shared" si="0"/>
        <v>Violated</v>
      </c>
      <c r="T4" s="9">
        <v>2</v>
      </c>
      <c r="U4" s="9">
        <v>190000</v>
      </c>
      <c r="V4" s="9" t="s">
        <v>22</v>
      </c>
      <c r="W4" s="9">
        <v>378000</v>
      </c>
      <c r="X4" s="9" t="s">
        <v>22</v>
      </c>
      <c r="Y4" s="23">
        <f t="shared" ref="Y4:Y32" si="2">W4-U4</f>
        <v>188000</v>
      </c>
      <c r="Z4" s="9" t="str">
        <f t="shared" ref="Z4:Z32" si="3">IF(W4=U4,"equal",IF(W4&lt;U4,"Uniform","Non-Uniform"))</f>
        <v>Non-Uniform</v>
      </c>
      <c r="AA4" s="21">
        <f t="shared" ref="AA4:AA32" si="4">(Y4*100)/U4</f>
        <v>98.94736842105263</v>
      </c>
      <c r="AB4" s="34"/>
      <c r="AC4" s="30">
        <v>123395</v>
      </c>
      <c r="AD4" s="30">
        <v>20293.899999999998</v>
      </c>
      <c r="AE4" s="30">
        <v>20922.3</v>
      </c>
      <c r="AF4" s="30">
        <v>24808</v>
      </c>
      <c r="AG4" s="9">
        <v>189419.19999999998</v>
      </c>
      <c r="AI4" s="30">
        <v>94412.900000000009</v>
      </c>
      <c r="AJ4" s="30">
        <v>94447.099999999991</v>
      </c>
      <c r="AK4" s="30">
        <v>93771.099999999991</v>
      </c>
      <c r="AL4" s="30">
        <v>94504</v>
      </c>
      <c r="AM4" s="9">
        <v>377135.1</v>
      </c>
    </row>
    <row r="5" spans="1:39" x14ac:dyDescent="0.2">
      <c r="A5" s="12">
        <v>3</v>
      </c>
      <c r="B5" s="12">
        <v>0.88</v>
      </c>
      <c r="C5" s="12">
        <v>0.92</v>
      </c>
      <c r="D5" s="12">
        <v>0.83</v>
      </c>
      <c r="E5" s="12">
        <v>0.96</v>
      </c>
      <c r="F5" s="20">
        <v>2.7</v>
      </c>
      <c r="G5" s="20">
        <v>4.4000000000000004</v>
      </c>
      <c r="H5" s="20">
        <v>4.2</v>
      </c>
      <c r="I5" s="20">
        <v>4.4000000000000004</v>
      </c>
      <c r="J5" s="12">
        <v>0.64988082159242799</v>
      </c>
      <c r="K5" s="12">
        <f>J5*1.07</f>
        <v>0.69537247910389799</v>
      </c>
      <c r="L5" s="12">
        <v>0.20862011203533101</v>
      </c>
      <c r="M5" s="12">
        <f>L5*0.97</f>
        <v>0.20236150867427108</v>
      </c>
      <c r="N5" s="12">
        <v>3.3877714752546901</v>
      </c>
      <c r="O5" s="12">
        <v>3.4604263375327098</v>
      </c>
      <c r="P5" s="12" t="b">
        <f>IF(J5*1000&gt;K5*1000,TRUE,FALSE)</f>
        <v>0</v>
      </c>
      <c r="Q5" s="12" t="b">
        <f t="shared" si="1"/>
        <v>0</v>
      </c>
      <c r="R5" s="12" t="b">
        <f>IF(N5*1000&gt;O5*1000,TRUE,FALSE)</f>
        <v>0</v>
      </c>
      <c r="S5" s="12" t="str">
        <f t="shared" si="0"/>
        <v>Violated</v>
      </c>
      <c r="T5" s="9">
        <v>3</v>
      </c>
      <c r="U5" s="9">
        <v>76000</v>
      </c>
      <c r="V5" s="9" t="s">
        <v>22</v>
      </c>
      <c r="W5" s="9">
        <v>66000</v>
      </c>
      <c r="X5" s="9" t="s">
        <v>22</v>
      </c>
      <c r="Y5" s="23">
        <f t="shared" si="2"/>
        <v>-10000</v>
      </c>
      <c r="Z5" s="9" t="str">
        <f t="shared" si="3"/>
        <v>Uniform</v>
      </c>
      <c r="AA5" s="21">
        <f t="shared" si="4"/>
        <v>-13.157894736842104</v>
      </c>
      <c r="AB5" s="34"/>
      <c r="AC5" s="30">
        <v>43607.700000000004</v>
      </c>
      <c r="AD5" s="30">
        <v>9226.8000000000011</v>
      </c>
      <c r="AE5" s="30">
        <v>9546.6</v>
      </c>
      <c r="AF5" s="30">
        <v>13380.400000000001</v>
      </c>
      <c r="AG5" s="9">
        <v>75761.5</v>
      </c>
      <c r="AI5" s="30">
        <v>16488.900000000001</v>
      </c>
      <c r="AJ5" s="30">
        <v>16416.400000000001</v>
      </c>
      <c r="AK5" s="30">
        <v>16501.8</v>
      </c>
      <c r="AL5" s="30">
        <v>16416.400000000001</v>
      </c>
      <c r="AM5" s="9">
        <v>65823.5</v>
      </c>
    </row>
    <row r="6" spans="1:39" x14ac:dyDescent="0.2">
      <c r="A6" s="12">
        <v>4</v>
      </c>
      <c r="B6" s="12">
        <v>0.97</v>
      </c>
      <c r="C6" s="12">
        <v>0.81</v>
      </c>
      <c r="D6" s="12">
        <v>0.91</v>
      </c>
      <c r="E6" s="12">
        <v>0.82</v>
      </c>
      <c r="F6" s="20">
        <v>2.2000000000000002</v>
      </c>
      <c r="G6" s="20">
        <v>3.3</v>
      </c>
      <c r="H6" s="20">
        <v>2.7</v>
      </c>
      <c r="I6" s="20">
        <v>4.3</v>
      </c>
      <c r="J6" s="12">
        <v>0.66423159016123001</v>
      </c>
      <c r="K6" s="12">
        <f>J6*0.85</f>
        <v>0.56459685163704554</v>
      </c>
      <c r="L6" s="12">
        <v>5.0543245056532897E-2</v>
      </c>
      <c r="M6" s="12">
        <v>5.6754109957663501E-2</v>
      </c>
      <c r="N6" s="12">
        <v>3.4898648510276198</v>
      </c>
      <c r="O6" s="12">
        <v>3.3502702569865099</v>
      </c>
      <c r="P6" s="12" t="b">
        <f>IF(J6*1000&gt;K6*1000,TRUE,FALSE)</f>
        <v>1</v>
      </c>
      <c r="Q6" s="12" t="b">
        <f t="shared" si="1"/>
        <v>1</v>
      </c>
      <c r="R6" s="12" t="b">
        <f>IF(N6*1000&gt;O6*1000,TRUE,FALSE)</f>
        <v>1</v>
      </c>
      <c r="S6" s="12" t="str">
        <f t="shared" si="0"/>
        <v>Satisfied</v>
      </c>
      <c r="T6" s="9">
        <v>4</v>
      </c>
      <c r="U6" s="9">
        <v>248000</v>
      </c>
      <c r="V6" s="9" t="s">
        <v>23</v>
      </c>
      <c r="W6" s="9">
        <v>198000</v>
      </c>
      <c r="X6" s="9" t="s">
        <v>23</v>
      </c>
      <c r="Y6" s="23">
        <f t="shared" si="2"/>
        <v>-50000</v>
      </c>
      <c r="Z6" s="9" t="str">
        <f t="shared" si="3"/>
        <v>Uniform</v>
      </c>
      <c r="AA6" s="21">
        <f t="shared" si="4"/>
        <v>-20.161290322580644</v>
      </c>
      <c r="AB6" s="34"/>
      <c r="AC6" s="30">
        <v>227176.40000000002</v>
      </c>
      <c r="AD6" s="30">
        <v>5969.7</v>
      </c>
      <c r="AE6" s="30">
        <v>6158.7000000000007</v>
      </c>
      <c r="AF6" s="30">
        <v>8049.5999999999995</v>
      </c>
      <c r="AG6" s="9">
        <v>247354.40000000005</v>
      </c>
      <c r="AI6" s="30">
        <v>49445.000000000007</v>
      </c>
      <c r="AJ6" s="30">
        <v>49338.299999999996</v>
      </c>
      <c r="AK6" s="30">
        <v>49455.9</v>
      </c>
      <c r="AL6" s="30">
        <v>49389.799999999996</v>
      </c>
      <c r="AM6" s="9">
        <v>197629</v>
      </c>
    </row>
    <row r="7" spans="1:39" s="16" customFormat="1" x14ac:dyDescent="0.2">
      <c r="A7" s="12">
        <v>5</v>
      </c>
      <c r="B7" s="12">
        <v>0.98</v>
      </c>
      <c r="C7" s="12">
        <v>0.88</v>
      </c>
      <c r="D7" s="12">
        <v>0.83</v>
      </c>
      <c r="E7" s="12">
        <v>0.81</v>
      </c>
      <c r="F7" s="20">
        <v>3.3</v>
      </c>
      <c r="G7" s="20">
        <v>4.7</v>
      </c>
      <c r="H7" s="20">
        <v>3.6</v>
      </c>
      <c r="I7" s="20">
        <v>2.5</v>
      </c>
      <c r="J7" s="12">
        <v>0.66476729842624005</v>
      </c>
      <c r="K7" s="12">
        <v>0.644824279473452</v>
      </c>
      <c r="L7" s="12">
        <v>3.3566679559719197E-2</v>
      </c>
      <c r="M7" s="12">
        <f>L7*1.9</f>
        <v>6.3776691163466473E-2</v>
      </c>
      <c r="N7" s="12">
        <v>3.49578211050048</v>
      </c>
      <c r="O7" s="12">
        <v>3.5899650692855598</v>
      </c>
      <c r="P7" s="12" t="b">
        <f t="shared" ref="P7:P16" si="5">IF(J7*1000&gt;K7*1000,TRUE,FALSE)</f>
        <v>1</v>
      </c>
      <c r="Q7" s="12" t="b">
        <f t="shared" si="1"/>
        <v>1</v>
      </c>
      <c r="R7" s="12" t="b">
        <f t="shared" ref="R7:R16" si="6">IF(N7*1000&gt;O7*1000,TRUE,FALSE)</f>
        <v>0</v>
      </c>
      <c r="S7" s="12" t="str">
        <f t="shared" si="0"/>
        <v>Violated</v>
      </c>
      <c r="T7" s="9">
        <v>5</v>
      </c>
      <c r="U7" s="9">
        <v>88000</v>
      </c>
      <c r="V7" s="9" t="s">
        <v>22</v>
      </c>
      <c r="W7" s="9">
        <v>74000</v>
      </c>
      <c r="X7" s="9" t="s">
        <v>22</v>
      </c>
      <c r="Y7" s="23">
        <f t="shared" si="2"/>
        <v>-14000</v>
      </c>
      <c r="Z7" s="9" t="str">
        <f t="shared" si="3"/>
        <v>Uniform</v>
      </c>
      <c r="AA7" s="21">
        <f t="shared" si="4"/>
        <v>-15.909090909090908</v>
      </c>
      <c r="AB7" s="34"/>
      <c r="AC7" s="30">
        <v>43111.199999999997</v>
      </c>
      <c r="AD7" s="30">
        <v>13827.4</v>
      </c>
      <c r="AE7" s="30">
        <v>14360.4</v>
      </c>
      <c r="AF7" s="30">
        <v>16395</v>
      </c>
      <c r="AG7" s="9">
        <v>87694</v>
      </c>
      <c r="AH7" s="7"/>
      <c r="AI7" s="30">
        <v>18443.7</v>
      </c>
      <c r="AJ7" s="30">
        <v>18442.8</v>
      </c>
      <c r="AK7" s="30">
        <v>18388.8</v>
      </c>
      <c r="AL7" s="30">
        <v>18505</v>
      </c>
      <c r="AM7" s="9">
        <v>73780.3</v>
      </c>
    </row>
    <row r="8" spans="1:39" x14ac:dyDescent="0.2">
      <c r="A8" s="12">
        <v>6</v>
      </c>
      <c r="B8" s="12">
        <v>0.94</v>
      </c>
      <c r="C8" s="12">
        <v>0.98</v>
      </c>
      <c r="D8" s="12">
        <v>0.91</v>
      </c>
      <c r="E8" s="12">
        <v>0.88</v>
      </c>
      <c r="F8" s="20">
        <v>3.3</v>
      </c>
      <c r="G8" s="20">
        <v>4.3</v>
      </c>
      <c r="H8" s="20">
        <v>3</v>
      </c>
      <c r="I8" s="20">
        <v>4.7</v>
      </c>
      <c r="J8" s="12">
        <v>0.73430124419284004</v>
      </c>
      <c r="K8" s="12">
        <v>0.66821413221548398</v>
      </c>
      <c r="L8" s="12">
        <v>0.106870292182521</v>
      </c>
      <c r="M8" s="12">
        <f>L8*0.89</f>
        <v>9.5114560042443688E-2</v>
      </c>
      <c r="N8" s="12">
        <v>3.60886512027349</v>
      </c>
      <c r="O8" s="12">
        <v>3.4645105154625502</v>
      </c>
      <c r="P8" s="12" t="b">
        <f t="shared" si="5"/>
        <v>1</v>
      </c>
      <c r="Q8" s="12" t="b">
        <f t="shared" si="1"/>
        <v>0</v>
      </c>
      <c r="R8" s="12" t="b">
        <f t="shared" si="6"/>
        <v>1</v>
      </c>
      <c r="S8" s="12" t="str">
        <f t="shared" si="0"/>
        <v>Violated</v>
      </c>
      <c r="T8" s="9">
        <v>6</v>
      </c>
      <c r="U8" s="9">
        <v>164000</v>
      </c>
      <c r="V8" s="9" t="s">
        <v>22</v>
      </c>
      <c r="W8" s="9">
        <v>392000</v>
      </c>
      <c r="X8" s="9" t="s">
        <v>22</v>
      </c>
      <c r="Y8" s="23">
        <f t="shared" si="2"/>
        <v>228000</v>
      </c>
      <c r="Z8" s="9" t="str">
        <f t="shared" si="3"/>
        <v>Non-Uniform</v>
      </c>
      <c r="AA8" s="21">
        <f t="shared" si="4"/>
        <v>139.02439024390245</v>
      </c>
      <c r="AB8" s="34"/>
      <c r="AC8" s="30">
        <v>138748.5</v>
      </c>
      <c r="AD8" s="30">
        <v>6518.8</v>
      </c>
      <c r="AE8" s="30">
        <v>6783</v>
      </c>
      <c r="AF8" s="30">
        <v>11458.6</v>
      </c>
      <c r="AG8" s="9">
        <v>163508.9</v>
      </c>
      <c r="AI8" s="30">
        <v>97673.4</v>
      </c>
      <c r="AJ8" s="30">
        <v>97773.4</v>
      </c>
      <c r="AK8" s="30">
        <v>97614</v>
      </c>
      <c r="AL8" s="30">
        <v>97656.6</v>
      </c>
      <c r="AM8" s="9">
        <v>390717.4</v>
      </c>
    </row>
    <row r="9" spans="1:39" x14ac:dyDescent="0.2">
      <c r="A9" s="12">
        <v>7</v>
      </c>
      <c r="B9" s="12">
        <v>0.82</v>
      </c>
      <c r="C9" s="12">
        <v>0.93</v>
      </c>
      <c r="D9" s="12">
        <v>0.8</v>
      </c>
      <c r="E9" s="12">
        <v>0.95</v>
      </c>
      <c r="F9" s="20">
        <v>3.7</v>
      </c>
      <c r="G9" s="20">
        <v>1.9</v>
      </c>
      <c r="H9" s="20">
        <v>2.2999999999999998</v>
      </c>
      <c r="I9" s="20">
        <v>4.5</v>
      </c>
      <c r="J9" s="12">
        <v>0.55178127140588096</v>
      </c>
      <c r="K9" s="12">
        <v>0.63454846211676297</v>
      </c>
      <c r="L9" s="12">
        <v>0.30112271811348601</v>
      </c>
      <c r="M9" s="12">
        <v>0.30714517247575501</v>
      </c>
      <c r="N9" s="12">
        <v>3.2012228254332902</v>
      </c>
      <c r="O9" s="12">
        <v>3.4014062492482902</v>
      </c>
      <c r="P9" s="12" t="b">
        <f t="shared" si="5"/>
        <v>0</v>
      </c>
      <c r="Q9" s="12" t="b">
        <f t="shared" si="1"/>
        <v>1</v>
      </c>
      <c r="R9" s="12" t="b">
        <f t="shared" si="6"/>
        <v>0</v>
      </c>
      <c r="S9" s="12" t="str">
        <f t="shared" si="0"/>
        <v>Violated</v>
      </c>
      <c r="T9" s="9">
        <v>7</v>
      </c>
      <c r="U9" s="9">
        <v>22000</v>
      </c>
      <c r="V9" s="9" t="s">
        <v>22</v>
      </c>
      <c r="W9" s="9">
        <v>24000</v>
      </c>
      <c r="X9" s="9" t="s">
        <v>22</v>
      </c>
      <c r="Y9" s="23">
        <f t="shared" si="2"/>
        <v>2000</v>
      </c>
      <c r="Z9" s="9" t="str">
        <f t="shared" si="3"/>
        <v>Non-Uniform</v>
      </c>
      <c r="AA9" s="21">
        <f t="shared" si="4"/>
        <v>9.0909090909090917</v>
      </c>
      <c r="AB9" s="34"/>
      <c r="AC9" s="30">
        <v>12069.400000000001</v>
      </c>
      <c r="AD9" s="30">
        <v>3174.8999999999996</v>
      </c>
      <c r="AE9" s="30">
        <v>3279.7999999999997</v>
      </c>
      <c r="AF9" s="30">
        <v>3429</v>
      </c>
      <c r="AG9" s="9">
        <v>21953.100000000002</v>
      </c>
      <c r="AI9" s="30">
        <v>6001.4000000000005</v>
      </c>
      <c r="AJ9" s="30">
        <v>6000.2</v>
      </c>
      <c r="AK9" s="30">
        <v>5993.7999999999993</v>
      </c>
      <c r="AL9" s="30">
        <v>6003</v>
      </c>
      <c r="AM9" s="9">
        <v>23998.400000000001</v>
      </c>
    </row>
    <row r="10" spans="1:39" x14ac:dyDescent="0.2">
      <c r="A10" s="12">
        <v>8</v>
      </c>
      <c r="B10" s="12">
        <v>0.85</v>
      </c>
      <c r="C10" s="12">
        <v>0.86</v>
      </c>
      <c r="D10" s="12">
        <v>0.93</v>
      </c>
      <c r="E10" s="12">
        <v>0.88</v>
      </c>
      <c r="F10" s="20">
        <v>4.0999999999999996</v>
      </c>
      <c r="G10" s="20">
        <v>1.8</v>
      </c>
      <c r="H10" s="20">
        <v>1.9</v>
      </c>
      <c r="I10" s="20">
        <v>4.5</v>
      </c>
      <c r="J10" s="12">
        <v>0.56944987127170499</v>
      </c>
      <c r="K10" s="12">
        <v>0.53528287899540306</v>
      </c>
      <c r="L10" s="12">
        <v>0.25049115375383002</v>
      </c>
      <c r="M10" s="12">
        <v>0.23295677299106199</v>
      </c>
      <c r="N10" s="12">
        <v>3.2812364615948799</v>
      </c>
      <c r="O10" s="12">
        <v>3.4234219308341101</v>
      </c>
      <c r="P10" s="12" t="b">
        <f t="shared" si="5"/>
        <v>1</v>
      </c>
      <c r="Q10" s="12" t="b">
        <f t="shared" si="1"/>
        <v>0</v>
      </c>
      <c r="R10" s="12" t="b">
        <f t="shared" si="6"/>
        <v>0</v>
      </c>
      <c r="S10" s="12" t="str">
        <f t="shared" si="0"/>
        <v>Violated</v>
      </c>
      <c r="T10" s="17">
        <v>8</v>
      </c>
      <c r="U10" s="17">
        <v>36000</v>
      </c>
      <c r="V10" s="17" t="s">
        <v>22</v>
      </c>
      <c r="W10" s="17">
        <v>49000</v>
      </c>
      <c r="X10" s="17" t="s">
        <v>22</v>
      </c>
      <c r="Y10" s="17">
        <f t="shared" si="2"/>
        <v>13000</v>
      </c>
      <c r="Z10" s="17" t="str">
        <f t="shared" si="3"/>
        <v>Non-Uniform</v>
      </c>
      <c r="AA10" s="22">
        <f t="shared" si="4"/>
        <v>36.111111111111114</v>
      </c>
      <c r="AB10" s="34"/>
      <c r="AC10" s="30">
        <v>19479.099999999999</v>
      </c>
      <c r="AD10" s="30">
        <v>5095.8</v>
      </c>
      <c r="AE10" s="30">
        <v>5263</v>
      </c>
      <c r="AF10" s="30">
        <v>5940</v>
      </c>
      <c r="AG10" s="9">
        <v>35777.899999999994</v>
      </c>
      <c r="AI10" s="35">
        <v>12062.199999999999</v>
      </c>
      <c r="AJ10" s="30">
        <v>12175.2</v>
      </c>
      <c r="AK10" s="30">
        <v>12199.9</v>
      </c>
      <c r="AL10" s="30">
        <v>12136.5</v>
      </c>
      <c r="AM10" s="9">
        <v>48573.8</v>
      </c>
    </row>
    <row r="11" spans="1:39" x14ac:dyDescent="0.2">
      <c r="A11" s="12">
        <v>9</v>
      </c>
      <c r="B11" s="12">
        <v>0.87</v>
      </c>
      <c r="C11" s="12">
        <v>0.8</v>
      </c>
      <c r="D11" s="12">
        <v>0.88</v>
      </c>
      <c r="E11" s="12">
        <v>0.98</v>
      </c>
      <c r="F11" s="20">
        <v>5</v>
      </c>
      <c r="G11" s="20">
        <v>3.5</v>
      </c>
      <c r="H11" s="20">
        <v>2.2999999999999998</v>
      </c>
      <c r="I11" s="20">
        <v>4.4000000000000004</v>
      </c>
      <c r="J11" s="12">
        <v>0.62362528340565904</v>
      </c>
      <c r="K11" s="12">
        <f>J11*0.88</f>
        <v>0.54879024939697996</v>
      </c>
      <c r="L11" s="12">
        <v>0.223185387175558</v>
      </c>
      <c r="M11" s="12">
        <v>0.234344656534336</v>
      </c>
      <c r="N11" s="12">
        <v>3.3182488760880098</v>
      </c>
      <c r="O11" s="12">
        <v>3.1855189210444901</v>
      </c>
      <c r="P11" s="12" t="b">
        <f t="shared" si="5"/>
        <v>1</v>
      </c>
      <c r="Q11" s="12" t="b">
        <f t="shared" si="1"/>
        <v>1</v>
      </c>
      <c r="R11" s="12" t="b">
        <f t="shared" si="6"/>
        <v>1</v>
      </c>
      <c r="S11" s="12" t="str">
        <f t="shared" si="0"/>
        <v>Satisfied</v>
      </c>
      <c r="T11" s="9">
        <v>9</v>
      </c>
      <c r="U11" s="9">
        <v>666000</v>
      </c>
      <c r="V11" s="9" t="s">
        <v>23</v>
      </c>
      <c r="W11" s="9">
        <v>1564000</v>
      </c>
      <c r="X11" s="9" t="s">
        <v>23</v>
      </c>
      <c r="Y11" s="23">
        <f t="shared" si="2"/>
        <v>898000</v>
      </c>
      <c r="Z11" s="9" t="str">
        <f t="shared" si="3"/>
        <v>Non-Uniform</v>
      </c>
      <c r="AA11" s="21">
        <f t="shared" si="4"/>
        <v>134.83483483483482</v>
      </c>
      <c r="AB11" s="34"/>
      <c r="AC11" s="30">
        <v>576020</v>
      </c>
      <c r="AD11" s="30">
        <v>24381</v>
      </c>
      <c r="AE11" s="30">
        <v>25403.499999999996</v>
      </c>
      <c r="AF11" s="30">
        <v>37769.600000000006</v>
      </c>
      <c r="AG11" s="9">
        <v>663574.1</v>
      </c>
      <c r="AI11" s="30">
        <v>391010</v>
      </c>
      <c r="AJ11" s="30">
        <v>388661</v>
      </c>
      <c r="AK11" s="30">
        <v>390300.8</v>
      </c>
      <c r="AL11" s="30">
        <v>388819.20000000001</v>
      </c>
      <c r="AM11" s="9">
        <v>1558791</v>
      </c>
    </row>
    <row r="12" spans="1:39" x14ac:dyDescent="0.2">
      <c r="A12" s="12">
        <v>10</v>
      </c>
      <c r="B12" s="12">
        <v>0.84</v>
      </c>
      <c r="C12" s="12">
        <v>0.84</v>
      </c>
      <c r="D12" s="12">
        <v>0.87</v>
      </c>
      <c r="E12" s="12">
        <v>0.94</v>
      </c>
      <c r="F12" s="20">
        <v>4.9000000000000004</v>
      </c>
      <c r="G12" s="20">
        <v>2.1</v>
      </c>
      <c r="H12" s="20">
        <v>5</v>
      </c>
      <c r="I12" s="20">
        <v>4.3</v>
      </c>
      <c r="J12" s="12">
        <v>0.56727341573857204</v>
      </c>
      <c r="K12" s="12">
        <f>J12*1.036</f>
        <v>0.58769525870516071</v>
      </c>
      <c r="L12" s="12">
        <v>0.26805207918829899</v>
      </c>
      <c r="M12" s="12">
        <v>0.289496245523363</v>
      </c>
      <c r="N12" s="12">
        <v>3.2337556903111899</v>
      </c>
      <c r="O12" s="12">
        <f>N12*0.9233</f>
        <v>2.9857266288643216</v>
      </c>
      <c r="P12" s="12" t="b">
        <f t="shared" si="5"/>
        <v>0</v>
      </c>
      <c r="Q12" s="12" t="b">
        <f t="shared" si="1"/>
        <v>1</v>
      </c>
      <c r="R12" s="12" t="b">
        <f t="shared" si="6"/>
        <v>1</v>
      </c>
      <c r="S12" s="12" t="str">
        <f t="shared" si="0"/>
        <v>Violated</v>
      </c>
      <c r="T12" s="9">
        <v>10</v>
      </c>
      <c r="U12" s="9">
        <v>578000</v>
      </c>
      <c r="V12" s="9" t="s">
        <v>22</v>
      </c>
      <c r="W12" s="9">
        <v>784000</v>
      </c>
      <c r="X12" s="9" t="s">
        <v>22</v>
      </c>
      <c r="Y12" s="23">
        <f t="shared" si="2"/>
        <v>206000</v>
      </c>
      <c r="Z12" s="9" t="str">
        <f t="shared" si="3"/>
        <v>Non-Uniform</v>
      </c>
      <c r="AA12" s="21">
        <f t="shared" si="4"/>
        <v>35.640138408304502</v>
      </c>
      <c r="AB12" s="34"/>
      <c r="AC12" s="30">
        <v>310385.60000000003</v>
      </c>
      <c r="AD12" s="30">
        <v>68397</v>
      </c>
      <c r="AE12" s="30">
        <v>70435</v>
      </c>
      <c r="AF12" s="30">
        <v>126454.39999999999</v>
      </c>
      <c r="AG12" s="9">
        <v>575672</v>
      </c>
      <c r="AI12" s="30">
        <v>195931.40000000002</v>
      </c>
      <c r="AJ12" s="30">
        <v>195925.80000000002</v>
      </c>
      <c r="AK12" s="30">
        <v>196010</v>
      </c>
      <c r="AL12" s="30">
        <v>195538.19999999998</v>
      </c>
      <c r="AM12" s="9">
        <v>783405.4</v>
      </c>
    </row>
    <row r="13" spans="1:39" x14ac:dyDescent="0.2">
      <c r="A13" s="12">
        <v>11</v>
      </c>
      <c r="B13" s="12">
        <v>0.83</v>
      </c>
      <c r="C13" s="12">
        <v>0.92</v>
      </c>
      <c r="D13" s="12">
        <v>0.86</v>
      </c>
      <c r="E13" s="12">
        <v>0.87</v>
      </c>
      <c r="F13" s="20">
        <v>1.1000000000000001</v>
      </c>
      <c r="G13" s="20">
        <v>2.1</v>
      </c>
      <c r="H13" s="20">
        <v>4.8</v>
      </c>
      <c r="I13" s="20">
        <v>1.5</v>
      </c>
      <c r="J13" s="12">
        <v>0.53308457393859299</v>
      </c>
      <c r="K13" s="12">
        <f>J13*0.87</f>
        <v>0.46378357932657588</v>
      </c>
      <c r="L13" s="12">
        <v>0.27918599707176001</v>
      </c>
      <c r="M13" s="12">
        <v>0.31827203666180598</v>
      </c>
      <c r="N13" s="12">
        <v>3.21051148211891</v>
      </c>
      <c r="O13" s="12">
        <v>3.3340319414036599</v>
      </c>
      <c r="P13" s="12" t="b">
        <f t="shared" si="5"/>
        <v>1</v>
      </c>
      <c r="Q13" s="12" t="b">
        <f t="shared" si="1"/>
        <v>1</v>
      </c>
      <c r="R13" s="12" t="b">
        <f t="shared" si="6"/>
        <v>0</v>
      </c>
      <c r="S13" s="12" t="str">
        <f t="shared" si="0"/>
        <v>Violated</v>
      </c>
      <c r="T13" s="9">
        <v>11</v>
      </c>
      <c r="U13" s="9">
        <v>34000</v>
      </c>
      <c r="V13" s="9" t="s">
        <v>22</v>
      </c>
      <c r="W13" s="9">
        <v>36000</v>
      </c>
      <c r="X13" s="9" t="s">
        <v>22</v>
      </c>
      <c r="Y13" s="23">
        <f t="shared" si="2"/>
        <v>2000</v>
      </c>
      <c r="Z13" s="9" t="str">
        <f t="shared" si="3"/>
        <v>Non-Uniform</v>
      </c>
      <c r="AA13" s="21">
        <f t="shared" si="4"/>
        <v>5.882352941176471</v>
      </c>
      <c r="AB13" s="34"/>
      <c r="AC13" s="30">
        <v>18823.2</v>
      </c>
      <c r="AD13" s="30">
        <v>4844.7</v>
      </c>
      <c r="AE13" s="30">
        <v>4982.3999999999996</v>
      </c>
      <c r="AF13" s="30">
        <v>5284.5</v>
      </c>
      <c r="AG13" s="9">
        <v>33934.800000000003</v>
      </c>
      <c r="AI13" s="30">
        <v>8991.4000000000015</v>
      </c>
      <c r="AJ13" s="30">
        <v>9000.6</v>
      </c>
      <c r="AK13" s="30">
        <v>8995.1999999999989</v>
      </c>
      <c r="AL13" s="30">
        <v>8994</v>
      </c>
      <c r="AM13" s="9">
        <v>35981.199999999997</v>
      </c>
    </row>
    <row r="14" spans="1:39" x14ac:dyDescent="0.2">
      <c r="A14" s="12">
        <v>12</v>
      </c>
      <c r="B14" s="12">
        <v>0.98</v>
      </c>
      <c r="C14" s="12">
        <v>0.93</v>
      </c>
      <c r="D14" s="12">
        <v>0.88</v>
      </c>
      <c r="E14" s="12">
        <v>0.82</v>
      </c>
      <c r="F14" s="20">
        <v>3.8</v>
      </c>
      <c r="G14" s="20">
        <v>4.5</v>
      </c>
      <c r="H14" s="20">
        <v>2.5</v>
      </c>
      <c r="I14" s="20">
        <v>4.2</v>
      </c>
      <c r="J14" s="12">
        <v>0.71235068900604803</v>
      </c>
      <c r="K14" s="12">
        <v>0.67673315455574601</v>
      </c>
      <c r="L14" s="12">
        <v>3.4537769163388701E-2</v>
      </c>
      <c r="M14" s="12">
        <v>3.7300790696459897E-2</v>
      </c>
      <c r="N14" s="12">
        <v>3.5933365098165599</v>
      </c>
      <c r="O14" s="12">
        <f>N14*0.88</f>
        <v>3.162136128638573</v>
      </c>
      <c r="P14" s="12" t="b">
        <f t="shared" si="5"/>
        <v>1</v>
      </c>
      <c r="Q14" s="12" t="b">
        <f t="shared" si="1"/>
        <v>1</v>
      </c>
      <c r="R14" s="12" t="b">
        <f t="shared" si="6"/>
        <v>1</v>
      </c>
      <c r="S14" s="12" t="str">
        <f t="shared" si="0"/>
        <v>Satisfied</v>
      </c>
      <c r="T14" s="9">
        <v>12</v>
      </c>
      <c r="U14" s="9">
        <v>898000</v>
      </c>
      <c r="V14" s="9" t="s">
        <v>23</v>
      </c>
      <c r="W14" s="9">
        <v>294000</v>
      </c>
      <c r="X14" s="9" t="s">
        <v>23</v>
      </c>
      <c r="Y14" s="23">
        <f t="shared" si="2"/>
        <v>-604000</v>
      </c>
      <c r="Z14" s="9" t="str">
        <f t="shared" si="3"/>
        <v>Uniform</v>
      </c>
      <c r="AA14" s="21">
        <f t="shared" si="4"/>
        <v>-67.260579064587972</v>
      </c>
      <c r="AB14" s="34"/>
      <c r="AC14" s="30">
        <v>789400.6</v>
      </c>
      <c r="AD14" s="30">
        <v>24561</v>
      </c>
      <c r="AE14" s="30">
        <v>25442.5</v>
      </c>
      <c r="AF14" s="30">
        <v>55393.8</v>
      </c>
      <c r="AG14" s="36">
        <v>894797.9</v>
      </c>
      <c r="AI14" s="30">
        <v>73184.2</v>
      </c>
      <c r="AJ14" s="30">
        <v>73435.5</v>
      </c>
      <c r="AK14" s="30">
        <v>73505</v>
      </c>
      <c r="AL14" s="30">
        <v>73479</v>
      </c>
      <c r="AM14" s="9">
        <v>293603.7</v>
      </c>
    </row>
    <row r="15" spans="1:39" x14ac:dyDescent="0.2">
      <c r="A15" s="12">
        <v>13</v>
      </c>
      <c r="B15" s="12">
        <v>0.96</v>
      </c>
      <c r="C15" s="12">
        <v>0.91</v>
      </c>
      <c r="D15" s="12">
        <v>0.85</v>
      </c>
      <c r="E15" s="12">
        <v>0.83</v>
      </c>
      <c r="F15" s="20">
        <v>4.2</v>
      </c>
      <c r="G15" s="20">
        <v>1.1000000000000001</v>
      </c>
      <c r="H15" s="20">
        <v>4.5999999999999996</v>
      </c>
      <c r="I15" s="20">
        <v>2.7</v>
      </c>
      <c r="J15" s="12">
        <v>0.67271458259526795</v>
      </c>
      <c r="K15" s="12">
        <f>J15*1.085</f>
        <v>0.72989532211586572</v>
      </c>
      <c r="L15" s="12">
        <v>6.8029774274802904E-2</v>
      </c>
      <c r="M15" s="12">
        <v>6.1907094590070599E-2</v>
      </c>
      <c r="N15" s="12">
        <v>3.5050134214031901</v>
      </c>
      <c r="O15" s="12">
        <v>3.1651207926286999</v>
      </c>
      <c r="P15" s="12" t="b">
        <f t="shared" si="5"/>
        <v>0</v>
      </c>
      <c r="Q15" s="12" t="b">
        <f t="shared" si="1"/>
        <v>0</v>
      </c>
      <c r="R15" s="12" t="b">
        <f t="shared" si="6"/>
        <v>1</v>
      </c>
      <c r="S15" s="12" t="str">
        <f t="shared" si="0"/>
        <v>Violated</v>
      </c>
      <c r="T15" s="9">
        <v>13</v>
      </c>
      <c r="U15" s="9">
        <v>78000</v>
      </c>
      <c r="V15" s="9" t="s">
        <v>22</v>
      </c>
      <c r="W15" s="9">
        <v>58000</v>
      </c>
      <c r="X15" s="9" t="s">
        <v>22</v>
      </c>
      <c r="Y15" s="23">
        <f t="shared" si="2"/>
        <v>-20000</v>
      </c>
      <c r="Z15" s="9" t="str">
        <f t="shared" si="3"/>
        <v>Uniform</v>
      </c>
      <c r="AA15" s="21">
        <f t="shared" si="4"/>
        <v>-25.641025641025642</v>
      </c>
      <c r="AB15" s="34"/>
      <c r="AC15" s="30">
        <v>49009.8</v>
      </c>
      <c r="AD15" s="30">
        <v>7040.0000000000009</v>
      </c>
      <c r="AE15" s="30">
        <v>7203.5999999999995</v>
      </c>
      <c r="AF15" s="30">
        <v>14526.000000000002</v>
      </c>
      <c r="AG15" s="9">
        <v>77779.400000000009</v>
      </c>
      <c r="AI15" s="30">
        <v>14502.6</v>
      </c>
      <c r="AJ15" s="30">
        <v>14484.800000000001</v>
      </c>
      <c r="AK15" s="30">
        <v>14416.4</v>
      </c>
      <c r="AL15" s="30">
        <v>14490.900000000001</v>
      </c>
      <c r="AM15" s="9">
        <v>57894.700000000004</v>
      </c>
    </row>
    <row r="16" spans="1:39" x14ac:dyDescent="0.2">
      <c r="A16" s="12">
        <v>14</v>
      </c>
      <c r="B16" s="12">
        <v>0.83</v>
      </c>
      <c r="C16" s="12">
        <v>0.86</v>
      </c>
      <c r="D16" s="12">
        <v>0.84</v>
      </c>
      <c r="E16" s="12">
        <v>0.92</v>
      </c>
      <c r="F16" s="20">
        <v>4.2</v>
      </c>
      <c r="G16" s="20">
        <v>1.2</v>
      </c>
      <c r="H16" s="20">
        <v>1.6</v>
      </c>
      <c r="I16" s="20">
        <v>3.6</v>
      </c>
      <c r="J16" s="12">
        <v>0.538603116094303</v>
      </c>
      <c r="K16" s="12">
        <v>0.646323739313163</v>
      </c>
      <c r="L16" s="12">
        <v>0.280316300886785</v>
      </c>
      <c r="M16" s="12">
        <v>0.34759221309961302</v>
      </c>
      <c r="N16" s="12">
        <v>3.18426547164042</v>
      </c>
      <c r="O16" s="12">
        <v>3.32677069144626</v>
      </c>
      <c r="P16" s="12" t="b">
        <f t="shared" si="5"/>
        <v>0</v>
      </c>
      <c r="Q16" s="12" t="b">
        <f t="shared" si="1"/>
        <v>1</v>
      </c>
      <c r="R16" s="12" t="b">
        <f t="shared" si="6"/>
        <v>0</v>
      </c>
      <c r="S16" s="12" t="str">
        <f t="shared" si="0"/>
        <v>Violated</v>
      </c>
      <c r="T16" s="9">
        <v>14</v>
      </c>
      <c r="U16" s="9">
        <v>16000</v>
      </c>
      <c r="V16" s="9" t="s">
        <v>22</v>
      </c>
      <c r="W16" s="9">
        <v>18000</v>
      </c>
      <c r="X16" s="9" t="s">
        <v>22</v>
      </c>
      <c r="Y16" s="23">
        <f t="shared" si="2"/>
        <v>2000</v>
      </c>
      <c r="Z16" s="9" t="str">
        <f>IF(W16=U16,"equal",IF(W16&lt;U16,"Uniform","Non-Uniform"))</f>
        <v>Non-Uniform</v>
      </c>
      <c r="AA16" s="21">
        <f>(Y16*100)/U16</f>
        <v>12.5</v>
      </c>
      <c r="AB16" s="34"/>
      <c r="AC16" s="30">
        <v>8668.8000000000011</v>
      </c>
      <c r="AD16" s="30">
        <v>2121.6</v>
      </c>
      <c r="AE16" s="30">
        <v>2184</v>
      </c>
      <c r="AF16" s="30">
        <v>2998.8</v>
      </c>
      <c r="AG16" s="9">
        <v>15973.2</v>
      </c>
      <c r="AI16" s="30">
        <v>4506.6000000000004</v>
      </c>
      <c r="AJ16" s="30">
        <v>4495.2</v>
      </c>
      <c r="AK16" s="30">
        <v>4496</v>
      </c>
      <c r="AL16" s="30">
        <v>4478.4000000000005</v>
      </c>
      <c r="AM16" s="9">
        <v>17976.2</v>
      </c>
    </row>
    <row r="17" spans="1:39" x14ac:dyDescent="0.2">
      <c r="A17" s="12">
        <v>15</v>
      </c>
      <c r="B17" s="12">
        <v>0.93</v>
      </c>
      <c r="C17" s="12">
        <v>0.99</v>
      </c>
      <c r="D17" s="12">
        <v>0.97</v>
      </c>
      <c r="E17" s="12">
        <v>0.8</v>
      </c>
      <c r="F17" s="20">
        <v>1.9</v>
      </c>
      <c r="G17" s="20">
        <v>5</v>
      </c>
      <c r="H17" s="20">
        <v>4.5</v>
      </c>
      <c r="I17" s="20">
        <v>3</v>
      </c>
      <c r="J17" s="12">
        <v>0.67795418373365002</v>
      </c>
      <c r="K17" s="12">
        <v>0.65083601638430399</v>
      </c>
      <c r="L17" s="12">
        <v>0.121028809528339</v>
      </c>
      <c r="M17" s="12">
        <v>0.12882276000000001</v>
      </c>
      <c r="N17" s="12">
        <v>3.5702104572069602</v>
      </c>
      <c r="O17" s="12">
        <v>3.4631041434907499</v>
      </c>
      <c r="P17" s="12" t="b">
        <v>1</v>
      </c>
      <c r="Q17" s="12" t="b">
        <v>1</v>
      </c>
      <c r="R17" s="12" t="b">
        <v>1</v>
      </c>
      <c r="S17" s="12" t="str">
        <f t="shared" si="0"/>
        <v>Satisfied</v>
      </c>
      <c r="T17" s="9">
        <v>15</v>
      </c>
      <c r="U17" s="9">
        <v>192000</v>
      </c>
      <c r="V17" s="9" t="s">
        <v>23</v>
      </c>
      <c r="W17" s="9">
        <v>270000</v>
      </c>
      <c r="X17" s="9" t="s">
        <v>23</v>
      </c>
      <c r="Y17" s="23">
        <f t="shared" si="2"/>
        <v>78000</v>
      </c>
      <c r="Z17" s="9" t="str">
        <f>IF(W17=U17,"equal",IF(W17&lt;U17,"Uniform","Non-Uniform"))</f>
        <v>Non-Uniform</v>
      </c>
      <c r="AA17" s="21">
        <f>(Y17*100)/U17</f>
        <v>40.625</v>
      </c>
      <c r="AB17" s="34"/>
      <c r="AC17" s="30">
        <v>98991.9</v>
      </c>
      <c r="AD17" s="30">
        <v>20925</v>
      </c>
      <c r="AE17" s="30">
        <v>21735</v>
      </c>
      <c r="AF17" s="30">
        <v>49761</v>
      </c>
      <c r="AG17" s="9">
        <v>191412.9</v>
      </c>
      <c r="AI17" s="30">
        <v>67463.3</v>
      </c>
      <c r="AJ17" s="30">
        <v>67510</v>
      </c>
      <c r="AK17" s="30">
        <v>67441.5</v>
      </c>
      <c r="AL17" s="30">
        <v>67236</v>
      </c>
      <c r="AM17" s="9">
        <v>269650.8</v>
      </c>
    </row>
    <row r="18" spans="1:39" x14ac:dyDescent="0.2">
      <c r="A18" s="12">
        <v>16</v>
      </c>
      <c r="B18" s="12">
        <v>0.9</v>
      </c>
      <c r="C18" s="12">
        <v>0.8</v>
      </c>
      <c r="D18" s="12">
        <v>0.91</v>
      </c>
      <c r="E18" s="12">
        <v>0.87</v>
      </c>
      <c r="F18" s="20">
        <v>3.1</v>
      </c>
      <c r="G18" s="20">
        <v>3.7</v>
      </c>
      <c r="H18" s="20">
        <v>4.9000000000000004</v>
      </c>
      <c r="I18" s="20">
        <v>2.9</v>
      </c>
      <c r="J18" s="12">
        <v>0.60323076868360603</v>
      </c>
      <c r="K18" s="12">
        <v>0.57306923024942602</v>
      </c>
      <c r="L18" s="12">
        <v>0.16702564096484501</v>
      </c>
      <c r="M18" s="12">
        <v>0.17955256403720837</v>
      </c>
      <c r="N18" s="12">
        <v>3.3406648708672</v>
      </c>
      <c r="O18" s="12">
        <v>3.20703827603251</v>
      </c>
      <c r="P18" s="12" t="b">
        <v>1</v>
      </c>
      <c r="Q18" s="12" t="b">
        <v>1</v>
      </c>
      <c r="R18" s="12" t="b">
        <v>1</v>
      </c>
      <c r="S18" s="12" t="str">
        <f t="shared" si="0"/>
        <v>Satisfied</v>
      </c>
      <c r="T18" s="9">
        <v>16</v>
      </c>
      <c r="U18" s="9">
        <v>376000</v>
      </c>
      <c r="V18" s="9" t="s">
        <v>23</v>
      </c>
      <c r="W18" s="9">
        <v>700000</v>
      </c>
      <c r="X18" s="9" t="s">
        <v>23</v>
      </c>
      <c r="Y18" s="23">
        <f t="shared" si="2"/>
        <v>324000</v>
      </c>
      <c r="Z18" s="9" t="str">
        <f t="shared" si="3"/>
        <v>Non-Uniform</v>
      </c>
      <c r="AA18" s="21">
        <f t="shared" si="4"/>
        <v>86.170212765957444</v>
      </c>
      <c r="AB18" s="34"/>
      <c r="AC18" s="30">
        <v>239239.4</v>
      </c>
      <c r="AD18" s="30">
        <v>34535.800000000003</v>
      </c>
      <c r="AE18" s="30">
        <v>35701.4</v>
      </c>
      <c r="AF18" s="30">
        <v>65177.5</v>
      </c>
      <c r="AG18" s="9">
        <v>374654.10000000003</v>
      </c>
      <c r="AI18" s="30">
        <v>174691.20000000001</v>
      </c>
      <c r="AJ18" s="30">
        <v>174832.4</v>
      </c>
      <c r="AK18" s="30">
        <v>174939.80000000002</v>
      </c>
      <c r="AL18" s="30">
        <v>174585.8</v>
      </c>
      <c r="AM18" s="9">
        <v>699049.2</v>
      </c>
    </row>
    <row r="19" spans="1:39" x14ac:dyDescent="0.2">
      <c r="A19" s="12">
        <v>17</v>
      </c>
      <c r="B19" s="12">
        <v>0.83</v>
      </c>
      <c r="C19" s="12">
        <v>0.96</v>
      </c>
      <c r="D19" s="12">
        <v>0.88</v>
      </c>
      <c r="E19" s="12">
        <v>0.83</v>
      </c>
      <c r="F19" s="20">
        <v>2.7</v>
      </c>
      <c r="G19" s="20">
        <v>5</v>
      </c>
      <c r="H19" s="20">
        <v>4.3</v>
      </c>
      <c r="I19" s="20">
        <v>3.8</v>
      </c>
      <c r="J19" s="12">
        <v>0.52562343521780297</v>
      </c>
      <c r="K19" s="12">
        <v>0.50459849780909105</v>
      </c>
      <c r="L19" s="12">
        <v>0.27765781203256201</v>
      </c>
      <c r="M19" s="12">
        <v>0.30542359323581825</v>
      </c>
      <c r="N19" s="12">
        <v>3.2262695910169299</v>
      </c>
      <c r="O19" s="12">
        <v>3.0649561114660799</v>
      </c>
      <c r="P19" s="12" t="b">
        <v>1</v>
      </c>
      <c r="Q19" s="12" t="b">
        <v>1</v>
      </c>
      <c r="R19" s="12" t="b">
        <v>1</v>
      </c>
      <c r="S19" s="12" t="str">
        <f t="shared" si="0"/>
        <v>Satisfied</v>
      </c>
      <c r="T19" s="9">
        <v>17</v>
      </c>
      <c r="U19" s="9">
        <v>338000</v>
      </c>
      <c r="V19" s="9" t="s">
        <v>23</v>
      </c>
      <c r="W19" s="9">
        <v>512000</v>
      </c>
      <c r="X19" s="9" t="s">
        <v>23</v>
      </c>
      <c r="Y19" s="23">
        <f t="shared" si="2"/>
        <v>174000</v>
      </c>
      <c r="Z19" s="9" t="str">
        <f t="shared" si="3"/>
        <v>Non-Uniform</v>
      </c>
      <c r="AA19" s="21">
        <f t="shared" si="4"/>
        <v>51.479289940828401</v>
      </c>
      <c r="AB19" s="34"/>
      <c r="AC19" s="30">
        <v>177206.40000000002</v>
      </c>
      <c r="AD19" s="30">
        <v>37475</v>
      </c>
      <c r="AE19" s="30">
        <v>38798.9</v>
      </c>
      <c r="AF19" s="30">
        <v>83014.8</v>
      </c>
      <c r="AG19" s="9">
        <v>336495.10000000003</v>
      </c>
      <c r="AI19" s="30">
        <v>127877.40000000001</v>
      </c>
      <c r="AJ19" s="30">
        <v>128010</v>
      </c>
      <c r="AK19" s="30">
        <v>127701.4</v>
      </c>
      <c r="AL19" s="30">
        <v>127444.4</v>
      </c>
      <c r="AM19" s="9">
        <v>511033.20000000007</v>
      </c>
    </row>
    <row r="20" spans="1:39" x14ac:dyDescent="0.2">
      <c r="A20" s="12">
        <v>18</v>
      </c>
      <c r="B20" s="12">
        <v>0.89</v>
      </c>
      <c r="C20" s="12">
        <v>0.93</v>
      </c>
      <c r="D20" s="12">
        <v>0.9</v>
      </c>
      <c r="E20" s="12">
        <v>0.98</v>
      </c>
      <c r="F20" s="20">
        <v>4.5999999999999996</v>
      </c>
      <c r="G20" s="20">
        <v>2.2999999999999998</v>
      </c>
      <c r="H20" s="20">
        <v>3.6</v>
      </c>
      <c r="I20" s="20">
        <v>4.4000000000000004</v>
      </c>
      <c r="J20" s="12">
        <v>0.71006179286095195</v>
      </c>
      <c r="K20" s="12">
        <v>0.64615623150346602</v>
      </c>
      <c r="L20" s="12">
        <v>0.197760446308657</v>
      </c>
      <c r="M20" s="12">
        <v>0.22346930432878237</v>
      </c>
      <c r="N20" s="12">
        <v>3.50192521063344</v>
      </c>
      <c r="O20" s="12">
        <v>2.976636429038424</v>
      </c>
      <c r="P20" s="12" t="b">
        <v>1</v>
      </c>
      <c r="Q20" s="12" t="b">
        <v>1</v>
      </c>
      <c r="R20" s="12" t="b">
        <v>1</v>
      </c>
      <c r="S20" s="12" t="str">
        <f t="shared" si="0"/>
        <v>Satisfied</v>
      </c>
      <c r="T20" s="9">
        <v>18</v>
      </c>
      <c r="U20" s="9">
        <v>46000</v>
      </c>
      <c r="V20" s="9" t="s">
        <v>23</v>
      </c>
      <c r="W20" s="9">
        <v>176000</v>
      </c>
      <c r="X20" s="9" t="s">
        <v>23</v>
      </c>
      <c r="Y20" s="23">
        <f t="shared" si="2"/>
        <v>130000</v>
      </c>
      <c r="Z20" s="9" t="str">
        <f t="shared" si="3"/>
        <v>Non-Uniform</v>
      </c>
      <c r="AA20" s="21">
        <f t="shared" si="4"/>
        <v>282.60869565217394</v>
      </c>
      <c r="AB20" s="34"/>
      <c r="AC20" s="30">
        <v>32498.999999999996</v>
      </c>
      <c r="AD20" s="30">
        <v>3535.1</v>
      </c>
      <c r="AE20" s="30">
        <v>3636</v>
      </c>
      <c r="AF20" s="30">
        <v>6173.2000000000007</v>
      </c>
      <c r="AG20" s="9">
        <v>45843.3</v>
      </c>
      <c r="AI20" s="30">
        <v>43727.6</v>
      </c>
      <c r="AJ20" s="30">
        <v>43925.399999999994</v>
      </c>
      <c r="AK20" s="30">
        <v>43725.599999999999</v>
      </c>
      <c r="AL20" s="30">
        <v>43762.400000000001</v>
      </c>
      <c r="AM20" s="9">
        <v>175141</v>
      </c>
    </row>
    <row r="21" spans="1:39" x14ac:dyDescent="0.2">
      <c r="A21" s="12">
        <v>19</v>
      </c>
      <c r="B21" s="12">
        <v>0.98</v>
      </c>
      <c r="C21" s="12">
        <v>0.9</v>
      </c>
      <c r="D21" s="12">
        <v>0.89</v>
      </c>
      <c r="E21" s="12">
        <v>0.84</v>
      </c>
      <c r="F21" s="20">
        <v>1.6</v>
      </c>
      <c r="G21" s="20">
        <v>2.5</v>
      </c>
      <c r="H21" s="20">
        <v>4.3</v>
      </c>
      <c r="I21" s="20">
        <v>1.9</v>
      </c>
      <c r="J21" s="12">
        <v>0.72195433151503197</v>
      </c>
      <c r="K21" s="12">
        <v>0.63531981173322816</v>
      </c>
      <c r="L21" s="12">
        <v>3.4733761867653701E-2</v>
      </c>
      <c r="M21" s="12">
        <v>4.6890578521332597E-2</v>
      </c>
      <c r="N21" s="12">
        <v>3.59369642280764</v>
      </c>
      <c r="O21" s="12">
        <v>2.982768030930341</v>
      </c>
      <c r="P21" s="12" t="b">
        <v>1</v>
      </c>
      <c r="Q21" s="12" t="b">
        <v>1</v>
      </c>
      <c r="R21" s="12" t="b">
        <v>1</v>
      </c>
      <c r="S21" s="12" t="str">
        <f t="shared" si="0"/>
        <v>Satisfied</v>
      </c>
      <c r="T21" s="9">
        <v>19</v>
      </c>
      <c r="U21" s="9">
        <v>32000</v>
      </c>
      <c r="V21" s="9" t="s">
        <v>23</v>
      </c>
      <c r="W21" s="9">
        <v>70000</v>
      </c>
      <c r="X21" s="9" t="s">
        <v>23</v>
      </c>
      <c r="Y21" s="23">
        <f t="shared" si="2"/>
        <v>38000</v>
      </c>
      <c r="Z21" s="9" t="str">
        <f t="shared" si="3"/>
        <v>Non-Uniform</v>
      </c>
      <c r="AA21" s="21">
        <f t="shared" si="4"/>
        <v>118.75</v>
      </c>
      <c r="AB21" s="34"/>
      <c r="AC21" s="30">
        <v>20779.2</v>
      </c>
      <c r="AD21" s="30">
        <v>2797.5</v>
      </c>
      <c r="AE21" s="30">
        <v>2872.4</v>
      </c>
      <c r="AF21" s="30">
        <v>5483.4</v>
      </c>
      <c r="AG21" s="9">
        <v>31932.5</v>
      </c>
      <c r="AI21" s="30">
        <v>17475.2</v>
      </c>
      <c r="AJ21" s="30">
        <v>17505</v>
      </c>
      <c r="AK21" s="30">
        <v>17466.599999999999</v>
      </c>
      <c r="AL21" s="30">
        <v>17493.3</v>
      </c>
      <c r="AM21" s="9">
        <v>69940.099999999991</v>
      </c>
    </row>
    <row r="22" spans="1:39" x14ac:dyDescent="0.2">
      <c r="A22" s="12">
        <v>20</v>
      </c>
      <c r="B22" s="12">
        <v>0.85</v>
      </c>
      <c r="C22" s="12">
        <v>0.97</v>
      </c>
      <c r="D22" s="12">
        <v>0.93</v>
      </c>
      <c r="E22" s="12">
        <v>0.88</v>
      </c>
      <c r="F22" s="20">
        <v>1.5</v>
      </c>
      <c r="G22" s="20">
        <v>4.7</v>
      </c>
      <c r="H22" s="20">
        <v>3.6</v>
      </c>
      <c r="I22" s="20">
        <v>4.4000000000000004</v>
      </c>
      <c r="J22" s="12">
        <v>0.60377605004344304</v>
      </c>
      <c r="K22" s="12">
        <v>0.68226693654908999</v>
      </c>
      <c r="L22" s="12">
        <v>0.25654871471354801</v>
      </c>
      <c r="M22" s="12">
        <v>0.28220358618490299</v>
      </c>
      <c r="N22" s="12">
        <v>3.3675107735833598</v>
      </c>
      <c r="O22" s="12">
        <v>3.1960024749999998</v>
      </c>
      <c r="P22" s="12" t="b">
        <f>IF(J22*1000&gt;K22*1000,TRUE,FALSE)</f>
        <v>0</v>
      </c>
      <c r="Q22" s="12" t="b">
        <f>IF(L22*1000&lt;M22*1000,TRUE,FALSE)</f>
        <v>1</v>
      </c>
      <c r="R22" s="12" t="b">
        <f>IF(N22*1000&gt;O22*1000,TRUE,FALSE)</f>
        <v>1</v>
      </c>
      <c r="S22" s="12" t="str">
        <f t="shared" si="0"/>
        <v>Violated</v>
      </c>
      <c r="T22" s="9">
        <v>20</v>
      </c>
      <c r="U22" s="9">
        <v>28000</v>
      </c>
      <c r="V22" s="9" t="s">
        <v>22</v>
      </c>
      <c r="W22" s="9">
        <v>32000</v>
      </c>
      <c r="X22" s="9" t="s">
        <v>22</v>
      </c>
      <c r="Y22" s="23">
        <f t="shared" si="2"/>
        <v>4000</v>
      </c>
      <c r="Z22" s="9" t="str">
        <f>IF(W22=U22,"equal",IF(W22&lt;U22,"Uniform","Non-Uniform"))</f>
        <v>Non-Uniform</v>
      </c>
      <c r="AA22" s="21">
        <f t="shared" si="4"/>
        <v>14.285714285714286</v>
      </c>
      <c r="AB22" s="34"/>
      <c r="AC22" s="30">
        <v>16233</v>
      </c>
      <c r="AD22" s="30">
        <v>3247.7000000000003</v>
      </c>
      <c r="AE22" s="30">
        <v>3358.8</v>
      </c>
      <c r="AF22" s="30">
        <v>5090.8</v>
      </c>
      <c r="AG22" s="9">
        <v>27930.3</v>
      </c>
      <c r="AI22" s="30">
        <v>7995</v>
      </c>
      <c r="AJ22" s="30">
        <v>7980.6</v>
      </c>
      <c r="AK22" s="30">
        <v>7956</v>
      </c>
      <c r="AL22" s="30">
        <v>7964.0000000000009</v>
      </c>
      <c r="AM22" s="9">
        <v>31895.599999999999</v>
      </c>
    </row>
    <row r="23" spans="1:39" x14ac:dyDescent="0.2">
      <c r="A23" s="12">
        <v>21</v>
      </c>
      <c r="B23" s="12">
        <v>0.96</v>
      </c>
      <c r="C23" s="12">
        <v>0.99</v>
      </c>
      <c r="D23" s="12">
        <v>0.84</v>
      </c>
      <c r="E23" s="12">
        <v>0.94</v>
      </c>
      <c r="F23" s="20">
        <v>2.8</v>
      </c>
      <c r="G23" s="20">
        <v>4.5</v>
      </c>
      <c r="H23" s="20">
        <v>2</v>
      </c>
      <c r="I23" s="20">
        <v>3.3</v>
      </c>
      <c r="J23" s="12">
        <v>0.79147354866459596</v>
      </c>
      <c r="K23" s="12">
        <v>0.73607040025807402</v>
      </c>
      <c r="L23" s="12">
        <v>7.2978064527691594E-2</v>
      </c>
      <c r="M23" s="12">
        <v>9.4871483885999003E-2</v>
      </c>
      <c r="N23" s="12">
        <v>3.66152640130879</v>
      </c>
      <c r="O23" s="12">
        <v>3.3819890251909999</v>
      </c>
      <c r="P23" s="12" t="b">
        <f>IF(J23*1000&gt;K23*1000,TRUE,FALSE)</f>
        <v>1</v>
      </c>
      <c r="Q23" s="12" t="b">
        <f>IF(L23*1000&lt;M23*1000,TRUE,FALSE)</f>
        <v>1</v>
      </c>
      <c r="R23" s="12" t="b">
        <f>IF(N23*1000&gt;O23*1000,TRUE,FALSE)</f>
        <v>1</v>
      </c>
      <c r="S23" s="12" t="str">
        <f t="shared" si="0"/>
        <v>Satisfied</v>
      </c>
      <c r="T23" s="9">
        <v>21</v>
      </c>
      <c r="U23" s="9">
        <v>48000</v>
      </c>
      <c r="V23" s="9" t="s">
        <v>23</v>
      </c>
      <c r="W23" s="9">
        <v>40000</v>
      </c>
      <c r="X23" s="9" t="s">
        <v>23</v>
      </c>
      <c r="Y23" s="23">
        <f t="shared" si="2"/>
        <v>-8000</v>
      </c>
      <c r="Z23" s="9" t="str">
        <f t="shared" si="3"/>
        <v>Uniform</v>
      </c>
      <c r="AA23" s="21">
        <f t="shared" si="4"/>
        <v>-16.666666666666668</v>
      </c>
      <c r="AB23" s="34"/>
      <c r="AC23" s="30">
        <v>28431.199999999997</v>
      </c>
      <c r="AD23" s="30">
        <v>4972.5</v>
      </c>
      <c r="AE23" s="30">
        <v>5170</v>
      </c>
      <c r="AF23" s="30">
        <v>9309.2999999999993</v>
      </c>
      <c r="AG23" s="9">
        <v>47883</v>
      </c>
      <c r="AI23" s="30">
        <v>9973.5999999999985</v>
      </c>
      <c r="AJ23" s="30">
        <v>9999</v>
      </c>
      <c r="AK23" s="30">
        <v>10004</v>
      </c>
      <c r="AL23" s="30">
        <v>9972.6</v>
      </c>
      <c r="AM23" s="9">
        <v>39949.199999999997</v>
      </c>
    </row>
    <row r="24" spans="1:39" x14ac:dyDescent="0.2">
      <c r="A24" s="12">
        <v>22</v>
      </c>
      <c r="B24" s="12">
        <v>0.94</v>
      </c>
      <c r="C24" s="12">
        <v>0.89</v>
      </c>
      <c r="D24" s="12">
        <v>0.94</v>
      </c>
      <c r="E24" s="12">
        <v>0.98</v>
      </c>
      <c r="F24" s="20">
        <v>2.6</v>
      </c>
      <c r="G24" s="20">
        <v>4.5</v>
      </c>
      <c r="H24" s="20">
        <v>2.2000000000000002</v>
      </c>
      <c r="I24" s="20">
        <v>4.7</v>
      </c>
      <c r="J24" s="12">
        <v>0.79272179936634302</v>
      </c>
      <c r="K24" s="12">
        <v>0.83655728726495804</v>
      </c>
      <c r="L24" s="12">
        <v>0.110599263789341</v>
      </c>
      <c r="M24" s="12">
        <v>8.5161433117792576E-2</v>
      </c>
      <c r="N24" s="12">
        <v>3.6438513176911198</v>
      </c>
      <c r="O24" s="12">
        <v>3.46165875180656</v>
      </c>
      <c r="P24" s="12" t="b">
        <v>0</v>
      </c>
      <c r="Q24" s="12" t="b">
        <v>0</v>
      </c>
      <c r="R24" s="12" t="b">
        <v>1</v>
      </c>
      <c r="S24" s="12" t="str">
        <f t="shared" si="0"/>
        <v>Violated</v>
      </c>
      <c r="T24" s="9">
        <v>22</v>
      </c>
      <c r="U24" s="9">
        <v>50000</v>
      </c>
      <c r="V24" s="9" t="s">
        <v>22</v>
      </c>
      <c r="W24" s="9">
        <v>94000</v>
      </c>
      <c r="X24" s="9" t="s">
        <v>22</v>
      </c>
      <c r="Y24" s="23">
        <f t="shared" si="2"/>
        <v>44000</v>
      </c>
      <c r="Z24" s="9" t="str">
        <f t="shared" si="3"/>
        <v>Non-Uniform</v>
      </c>
      <c r="AA24" s="21">
        <f t="shared" si="4"/>
        <v>88</v>
      </c>
      <c r="AB24" s="34"/>
      <c r="AC24" s="30">
        <v>41399.800000000003</v>
      </c>
      <c r="AD24" s="30">
        <v>2533.5</v>
      </c>
      <c r="AE24" s="30">
        <v>2609.2000000000003</v>
      </c>
      <c r="AF24" s="30">
        <v>3318.2000000000003</v>
      </c>
      <c r="AG24" s="9">
        <v>49860.7</v>
      </c>
      <c r="AI24" s="30">
        <v>23467.600000000002</v>
      </c>
      <c r="AJ24" s="30">
        <v>23485.5</v>
      </c>
      <c r="AK24" s="30">
        <v>23476.2</v>
      </c>
      <c r="AL24" s="30">
        <v>23424.799999999999</v>
      </c>
      <c r="AM24" s="9">
        <v>93854.1</v>
      </c>
    </row>
    <row r="25" spans="1:39" x14ac:dyDescent="0.2">
      <c r="A25" s="12">
        <v>23</v>
      </c>
      <c r="B25" s="12">
        <v>0.86</v>
      </c>
      <c r="C25" s="12">
        <v>0.87</v>
      </c>
      <c r="D25" s="12">
        <v>0.82</v>
      </c>
      <c r="E25" s="12">
        <v>0.81</v>
      </c>
      <c r="F25" s="20">
        <v>1.7</v>
      </c>
      <c r="G25" s="20">
        <v>1.7</v>
      </c>
      <c r="H25" s="20">
        <v>3.7</v>
      </c>
      <c r="I25" s="20">
        <v>4.3</v>
      </c>
      <c r="J25" s="12">
        <v>0.50594374211455695</v>
      </c>
      <c r="K25" s="12">
        <v>0.35416061948018984</v>
      </c>
      <c r="L25" s="12">
        <v>0.222362934762834</v>
      </c>
      <c r="M25" s="12">
        <v>0.29351907388694198</v>
      </c>
      <c r="N25" s="12">
        <v>3.1746101522396399</v>
      </c>
      <c r="O25" s="12">
        <v>2.9206413400604698</v>
      </c>
      <c r="P25" s="12" t="b">
        <v>1</v>
      </c>
      <c r="Q25" s="12" t="b">
        <v>1</v>
      </c>
      <c r="R25" s="12" t="b">
        <v>1</v>
      </c>
      <c r="S25" s="12" t="str">
        <f t="shared" si="0"/>
        <v>Satisfied</v>
      </c>
      <c r="T25" s="9">
        <v>23</v>
      </c>
      <c r="U25" s="9">
        <v>12000</v>
      </c>
      <c r="V25" s="9" t="s">
        <v>23</v>
      </c>
      <c r="W25" s="9">
        <v>14000</v>
      </c>
      <c r="X25" s="9" t="s">
        <v>23</v>
      </c>
      <c r="Y25" s="23">
        <f t="shared" si="2"/>
        <v>2000</v>
      </c>
      <c r="Z25" s="9" t="str">
        <f t="shared" si="3"/>
        <v>Non-Uniform</v>
      </c>
      <c r="AA25" s="21">
        <f t="shared" si="4"/>
        <v>16.666666666666668</v>
      </c>
      <c r="AB25" s="34"/>
      <c r="AC25" s="30">
        <v>6774.5</v>
      </c>
      <c r="AD25" s="30">
        <v>1664.3</v>
      </c>
      <c r="AE25" s="30">
        <v>1705.7</v>
      </c>
      <c r="AF25" s="30">
        <v>1849</v>
      </c>
      <c r="AG25" s="9">
        <v>11993.5</v>
      </c>
      <c r="AI25" s="30">
        <v>3502</v>
      </c>
      <c r="AJ25" s="30">
        <v>3502</v>
      </c>
      <c r="AK25" s="30">
        <v>3503.9</v>
      </c>
      <c r="AL25" s="30">
        <v>3500.2</v>
      </c>
      <c r="AM25" s="36">
        <v>14008.099999999999</v>
      </c>
    </row>
    <row r="26" spans="1:39" x14ac:dyDescent="0.2">
      <c r="A26" s="12">
        <v>24</v>
      </c>
      <c r="B26" s="12">
        <v>0.88</v>
      </c>
      <c r="C26" s="12">
        <v>0.8</v>
      </c>
      <c r="D26" s="12">
        <v>0.89</v>
      </c>
      <c r="E26" s="12">
        <v>0.96</v>
      </c>
      <c r="F26" s="20">
        <v>2.9</v>
      </c>
      <c r="G26" s="20">
        <v>4.5</v>
      </c>
      <c r="H26" s="20">
        <v>3.7</v>
      </c>
      <c r="I26" s="20">
        <v>5</v>
      </c>
      <c r="J26" s="12">
        <v>0.62880803285977904</v>
      </c>
      <c r="K26" s="12">
        <f>J26*0.975</f>
        <v>0.61308783203828454</v>
      </c>
      <c r="L26" s="12">
        <v>0.20574654993542399</v>
      </c>
      <c r="M26" s="12">
        <v>0.26335558391734298</v>
      </c>
      <c r="N26" s="12">
        <v>3.3388810174060399</v>
      </c>
      <c r="O26" s="12">
        <f>N26*0.95</f>
        <v>3.1719369665357378</v>
      </c>
      <c r="P26" s="12" t="b">
        <f>IF(J26*1000&gt;K26*1000,TRUE,FALSE)</f>
        <v>1</v>
      </c>
      <c r="Q26" s="12" t="b">
        <f>IF(L26*1000&lt;M26*1000,TRUE,FALSE)</f>
        <v>1</v>
      </c>
      <c r="R26" s="12" t="b">
        <f>IF(N26*1000&gt;O26*1000,TRUE,FALSE)</f>
        <v>1</v>
      </c>
      <c r="S26" s="12" t="str">
        <f t="shared" si="0"/>
        <v>Satisfied</v>
      </c>
      <c r="T26" s="9">
        <v>24</v>
      </c>
      <c r="U26" s="9">
        <v>956000</v>
      </c>
      <c r="V26" s="9" t="s">
        <v>23</v>
      </c>
      <c r="W26" s="9">
        <v>904000</v>
      </c>
      <c r="X26" s="9" t="s">
        <v>23</v>
      </c>
      <c r="Y26" s="23">
        <f t="shared" si="2"/>
        <v>-52000</v>
      </c>
      <c r="Z26" s="9" t="str">
        <f t="shared" si="3"/>
        <v>Uniform</v>
      </c>
      <c r="AA26" s="21">
        <f t="shared" si="4"/>
        <v>-5.4393305439330542</v>
      </c>
      <c r="AB26" s="34"/>
      <c r="AC26" s="30">
        <v>483882.39999999997</v>
      </c>
      <c r="AD26" s="30">
        <v>122935.5</v>
      </c>
      <c r="AE26" s="30">
        <v>127657.40000000001</v>
      </c>
      <c r="AF26" s="30">
        <v>217875</v>
      </c>
      <c r="AG26" s="36">
        <v>952350.29999999993</v>
      </c>
      <c r="AI26" s="30">
        <v>225463.4</v>
      </c>
      <c r="AJ26" s="30">
        <v>225783</v>
      </c>
      <c r="AK26" s="30">
        <v>225781.40000000002</v>
      </c>
      <c r="AL26" s="30">
        <v>226010</v>
      </c>
      <c r="AM26" s="9">
        <v>903037.8</v>
      </c>
    </row>
    <row r="27" spans="1:39" x14ac:dyDescent="0.2">
      <c r="A27" s="12">
        <v>25</v>
      </c>
      <c r="B27" s="12">
        <v>0.95</v>
      </c>
      <c r="C27" s="12">
        <v>0.89</v>
      </c>
      <c r="D27" s="12">
        <v>0.84</v>
      </c>
      <c r="E27" s="12">
        <v>0.89</v>
      </c>
      <c r="F27" s="20">
        <v>1.3</v>
      </c>
      <c r="G27" s="20">
        <v>4.4000000000000004</v>
      </c>
      <c r="H27" s="20">
        <v>2.9</v>
      </c>
      <c r="I27" s="20">
        <v>1.8</v>
      </c>
      <c r="J27" s="12">
        <v>0.69442026630869103</v>
      </c>
      <c r="K27" s="12">
        <v>0.72219707696103896</v>
      </c>
      <c r="L27" s="12">
        <v>8.6548435068878493E-2</v>
      </c>
      <c r="M27" s="12">
        <v>7.7893591561990702E-2</v>
      </c>
      <c r="N27" s="12">
        <v>3.50228056628427</v>
      </c>
      <c r="O27" s="12">
        <v>3.6930559588209202</v>
      </c>
      <c r="P27" s="12" t="b">
        <v>0</v>
      </c>
      <c r="Q27" s="12" t="b">
        <v>0</v>
      </c>
      <c r="R27" s="12" t="b">
        <v>0</v>
      </c>
      <c r="S27" s="12" t="str">
        <f t="shared" si="0"/>
        <v>Violated</v>
      </c>
      <c r="T27" s="9">
        <v>25</v>
      </c>
      <c r="U27" s="9">
        <v>16000</v>
      </c>
      <c r="V27" s="9" t="s">
        <v>22</v>
      </c>
      <c r="W27" s="9">
        <v>14000</v>
      </c>
      <c r="X27" s="9" t="s">
        <v>22</v>
      </c>
      <c r="Y27" s="23">
        <f t="shared" si="2"/>
        <v>-2000</v>
      </c>
      <c r="Z27" s="9" t="str">
        <f t="shared" si="3"/>
        <v>Uniform</v>
      </c>
      <c r="AA27" s="21">
        <f t="shared" si="4"/>
        <v>-12.5</v>
      </c>
      <c r="AB27" s="34"/>
      <c r="AC27" s="30">
        <v>7957.3</v>
      </c>
      <c r="AD27" s="30">
        <v>2499.2000000000003</v>
      </c>
      <c r="AE27" s="30">
        <v>2572.2999999999997</v>
      </c>
      <c r="AF27" s="30">
        <v>2955.6</v>
      </c>
      <c r="AG27" s="9">
        <v>15984.4</v>
      </c>
      <c r="AI27" s="30">
        <v>3497</v>
      </c>
      <c r="AJ27" s="30">
        <v>3489.2000000000003</v>
      </c>
      <c r="AK27" s="30">
        <v>3497.4</v>
      </c>
      <c r="AL27" s="30">
        <v>3493.8</v>
      </c>
      <c r="AM27" s="9">
        <v>13977.400000000001</v>
      </c>
    </row>
    <row r="28" spans="1:39" x14ac:dyDescent="0.2">
      <c r="A28" s="12">
        <v>26</v>
      </c>
      <c r="B28" s="12">
        <v>0.8</v>
      </c>
      <c r="C28" s="12">
        <v>0.89</v>
      </c>
      <c r="D28" s="12">
        <v>0.95</v>
      </c>
      <c r="E28" s="12">
        <v>0.97</v>
      </c>
      <c r="F28" s="20">
        <v>1.6</v>
      </c>
      <c r="G28" s="20">
        <v>3.9</v>
      </c>
      <c r="H28" s="20">
        <v>1.1000000000000001</v>
      </c>
      <c r="I28" s="20">
        <v>3.5</v>
      </c>
      <c r="J28" s="12">
        <v>0.57147816131759799</v>
      </c>
      <c r="K28" s="12">
        <f>J28*0.78</f>
        <v>0.44575296582772644</v>
      </c>
      <c r="L28" s="12">
        <v>0.34286954032939898</v>
      </c>
      <c r="M28" s="12">
        <v>0.436016488638101</v>
      </c>
      <c r="N28" s="12">
        <v>3.2507874068220901</v>
      </c>
      <c r="O28" s="12">
        <f>N28*0.81</f>
        <v>2.6331377995258931</v>
      </c>
      <c r="P28" s="12" t="b">
        <f>IF(J28*1000&gt;K28*1000,TRUE,FALSE)</f>
        <v>1</v>
      </c>
      <c r="Q28" s="12" t="b">
        <f>IF(L28*1000&lt;M28*1000,TRUE,FALSE)</f>
        <v>1</v>
      </c>
      <c r="R28" s="12" t="b">
        <f>IF(N28*1000&gt;O28*1000,TRUE,FALSE)</f>
        <v>1</v>
      </c>
      <c r="S28" s="12" t="str">
        <f t="shared" si="0"/>
        <v>Satisfied</v>
      </c>
      <c r="T28" s="17">
        <v>26</v>
      </c>
      <c r="U28" s="17">
        <v>5000</v>
      </c>
      <c r="V28" s="17" t="s">
        <v>23</v>
      </c>
      <c r="W28" s="17">
        <v>8000</v>
      </c>
      <c r="X28" s="17" t="s">
        <v>23</v>
      </c>
      <c r="Y28" s="17">
        <f t="shared" si="2"/>
        <v>3000</v>
      </c>
      <c r="Z28" s="17" t="str">
        <f t="shared" si="3"/>
        <v>Non-Uniform</v>
      </c>
      <c r="AA28" s="22">
        <f t="shared" si="4"/>
        <v>60</v>
      </c>
      <c r="AB28" s="34"/>
      <c r="AC28" s="30">
        <v>2617.6000000000004</v>
      </c>
      <c r="AD28" s="30">
        <v>663</v>
      </c>
      <c r="AE28" s="30">
        <v>678.7</v>
      </c>
      <c r="AF28" s="30">
        <v>1039.5</v>
      </c>
      <c r="AG28" s="9">
        <v>4998.8</v>
      </c>
      <c r="AI28" s="35">
        <v>2000</v>
      </c>
      <c r="AJ28" s="30">
        <v>2004.6</v>
      </c>
      <c r="AK28" s="30">
        <v>1999.8000000000002</v>
      </c>
      <c r="AL28" s="30">
        <v>1995</v>
      </c>
      <c r="AM28" s="9">
        <v>7999.4</v>
      </c>
    </row>
    <row r="29" spans="1:39" x14ac:dyDescent="0.2">
      <c r="A29" s="12">
        <v>27</v>
      </c>
      <c r="B29" s="12">
        <v>0.91</v>
      </c>
      <c r="C29" s="12">
        <v>0.9</v>
      </c>
      <c r="D29" s="12">
        <v>0.89</v>
      </c>
      <c r="E29" s="12">
        <v>0.86</v>
      </c>
      <c r="F29" s="20">
        <v>3.4</v>
      </c>
      <c r="G29" s="20">
        <v>4.5</v>
      </c>
      <c r="H29" s="20">
        <v>4</v>
      </c>
      <c r="I29" s="20">
        <v>2.1</v>
      </c>
      <c r="J29" s="12">
        <v>0.637322901739521</v>
      </c>
      <c r="K29" s="12">
        <f>J29*0.87</f>
        <v>0.55447092451338331</v>
      </c>
      <c r="L29" s="12">
        <v>0.15303193533687501</v>
      </c>
      <c r="M29" s="12">
        <v>0.189759599817725</v>
      </c>
      <c r="N29" s="12">
        <v>3.42471969274593</v>
      </c>
      <c r="O29" s="12">
        <f>N29*0.84</f>
        <v>2.876764541906581</v>
      </c>
      <c r="P29" s="12" t="b">
        <f>IF(J29*1000&gt;K29*1000,TRUE,FALSE)</f>
        <v>1</v>
      </c>
      <c r="Q29" s="12" t="b">
        <f>IF(L29*1000&lt;M29*1000,TRUE,FALSE)</f>
        <v>1</v>
      </c>
      <c r="R29" s="12" t="b">
        <f>IF(N29*1000&gt;O29*1000,TRUE,FALSE)</f>
        <v>1</v>
      </c>
      <c r="S29" s="12" t="str">
        <f t="shared" si="0"/>
        <v>Satisfied</v>
      </c>
      <c r="T29" s="9">
        <v>27</v>
      </c>
      <c r="U29" s="9">
        <v>50000</v>
      </c>
      <c r="V29" s="9" t="s">
        <v>23</v>
      </c>
      <c r="W29" s="9">
        <v>58000</v>
      </c>
      <c r="X29" s="9" t="s">
        <v>23</v>
      </c>
      <c r="Y29" s="23">
        <f t="shared" si="2"/>
        <v>8000</v>
      </c>
      <c r="Z29" s="9" t="str">
        <f t="shared" si="3"/>
        <v>Non-Uniform</v>
      </c>
      <c r="AA29" s="21">
        <f t="shared" si="4"/>
        <v>16</v>
      </c>
      <c r="AB29" s="34"/>
      <c r="AC29" s="30">
        <v>32976.6</v>
      </c>
      <c r="AD29" s="30">
        <v>4176</v>
      </c>
      <c r="AE29" s="30">
        <v>4320</v>
      </c>
      <c r="AF29" s="30">
        <v>8393.7000000000007</v>
      </c>
      <c r="AG29" s="9">
        <v>49866.3</v>
      </c>
      <c r="AI29" s="30">
        <v>14501</v>
      </c>
      <c r="AJ29" s="30">
        <v>14494.5</v>
      </c>
      <c r="AK29" s="30">
        <v>14508</v>
      </c>
      <c r="AL29" s="30">
        <v>14498.400000000001</v>
      </c>
      <c r="AM29" s="36">
        <v>58001.9</v>
      </c>
    </row>
    <row r="30" spans="1:39" x14ac:dyDescent="0.2">
      <c r="A30" s="12">
        <v>28</v>
      </c>
      <c r="B30" s="12">
        <v>0.82</v>
      </c>
      <c r="C30" s="12">
        <v>0.84</v>
      </c>
      <c r="D30" s="12">
        <v>0.96</v>
      </c>
      <c r="E30" s="12">
        <v>0.94</v>
      </c>
      <c r="F30" s="20">
        <v>2.8</v>
      </c>
      <c r="G30" s="20">
        <v>3.6</v>
      </c>
      <c r="H30" s="20">
        <v>4.3</v>
      </c>
      <c r="I30" s="20">
        <v>2.1</v>
      </c>
      <c r="J30" s="12">
        <v>0.56954732811959796</v>
      </c>
      <c r="K30" s="12">
        <v>0.52398354187003005</v>
      </c>
      <c r="L30" s="12">
        <v>0.30502258422137501</v>
      </c>
      <c r="M30" s="12">
        <f>L30*1.092</f>
        <v>0.33308466196974157</v>
      </c>
      <c r="N30" s="12">
        <v>3.2534728626384402</v>
      </c>
      <c r="O30" s="12">
        <f>N30*0.94</f>
        <v>3.0582644908801337</v>
      </c>
      <c r="P30" s="12" t="b">
        <f>IF(J30*1000&gt;K30*1000,TRUE,FALSE)</f>
        <v>1</v>
      </c>
      <c r="Q30" s="12" t="b">
        <f>IF(L30*1000&lt;M30*1000,TRUE,FALSE)</f>
        <v>1</v>
      </c>
      <c r="R30" s="12" t="b">
        <f>IF(N30*1000&gt;O30*1000,TRUE,FALSE)</f>
        <v>1</v>
      </c>
      <c r="S30" s="12" t="str">
        <f t="shared" si="0"/>
        <v>Satisfied</v>
      </c>
      <c r="T30" s="9">
        <v>28</v>
      </c>
      <c r="U30" s="9">
        <v>94000</v>
      </c>
      <c r="V30" s="9" t="s">
        <v>23</v>
      </c>
      <c r="W30" s="9">
        <v>124000</v>
      </c>
      <c r="X30" s="9" t="s">
        <v>23</v>
      </c>
      <c r="Y30" s="23">
        <f t="shared" si="2"/>
        <v>30000</v>
      </c>
      <c r="Z30" s="9" t="str">
        <f t="shared" si="3"/>
        <v>Non-Uniform</v>
      </c>
      <c r="AA30" s="21">
        <f t="shared" si="4"/>
        <v>31.914893617021278</v>
      </c>
      <c r="AB30" s="34"/>
      <c r="AC30" s="30">
        <v>59060.399999999994</v>
      </c>
      <c r="AD30" s="30">
        <v>9064.8000000000011</v>
      </c>
      <c r="AE30" s="30">
        <v>9378.2999999999993</v>
      </c>
      <c r="AF30" s="30">
        <v>16218.300000000001</v>
      </c>
      <c r="AG30" s="9">
        <v>93721.8</v>
      </c>
      <c r="AI30" s="30">
        <v>30906.399999999998</v>
      </c>
      <c r="AJ30" s="30">
        <v>30808.799999999999</v>
      </c>
      <c r="AK30" s="30">
        <v>30934.199999999997</v>
      </c>
      <c r="AL30" s="30">
        <v>30991.800000000003</v>
      </c>
      <c r="AM30" s="9">
        <v>123641.2</v>
      </c>
    </row>
    <row r="31" spans="1:39" x14ac:dyDescent="0.2">
      <c r="A31" s="12">
        <v>29</v>
      </c>
      <c r="B31" s="12">
        <v>0.94</v>
      </c>
      <c r="C31" s="12">
        <v>0.89</v>
      </c>
      <c r="D31" s="12">
        <v>0.93</v>
      </c>
      <c r="E31" s="12">
        <v>0.86</v>
      </c>
      <c r="F31" s="20">
        <v>3.7</v>
      </c>
      <c r="G31" s="20">
        <v>1.9</v>
      </c>
      <c r="H31" s="20">
        <v>1.7</v>
      </c>
      <c r="I31" s="20">
        <v>4.9000000000000004</v>
      </c>
      <c r="J31" s="12">
        <v>0.69178450213195997</v>
      </c>
      <c r="K31" s="12">
        <v>0.76987002199999999</v>
      </c>
      <c r="L31" s="12">
        <v>0.10415645758289099</v>
      </c>
      <c r="M31" s="12">
        <f>L31*0.85</f>
        <v>8.8532988945457344E-2</v>
      </c>
      <c r="N31" s="12">
        <v>3.53168496420686</v>
      </c>
      <c r="O31" s="12">
        <v>3.6898784610000002</v>
      </c>
      <c r="P31" s="12" t="b">
        <f>IF(J31*1000&gt;K31*1000,TRUE,FALSE)</f>
        <v>0</v>
      </c>
      <c r="Q31" s="12" t="b">
        <f>IF(L31*1000&lt;M31*1000,TRUE,FALSE)</f>
        <v>0</v>
      </c>
      <c r="R31" s="12" t="b">
        <f>IF(N31*1000&gt;O31*1000,TRUE,FALSE)</f>
        <v>0</v>
      </c>
      <c r="S31" s="12" t="str">
        <f t="shared" si="0"/>
        <v>Violated</v>
      </c>
      <c r="T31" s="9">
        <v>29</v>
      </c>
      <c r="U31" s="9">
        <v>20000</v>
      </c>
      <c r="V31" s="9" t="s">
        <v>22</v>
      </c>
      <c r="W31" s="9">
        <v>30000</v>
      </c>
      <c r="X31" s="9" t="s">
        <v>22</v>
      </c>
      <c r="Y31" s="23">
        <f t="shared" si="2"/>
        <v>10000</v>
      </c>
      <c r="Z31" s="9" t="str">
        <f t="shared" si="3"/>
        <v>Non-Uniform</v>
      </c>
      <c r="AA31" s="21">
        <f t="shared" si="4"/>
        <v>50</v>
      </c>
      <c r="AB31" s="34"/>
      <c r="AC31" s="30">
        <v>10570.9</v>
      </c>
      <c r="AD31" s="30">
        <v>2962.1</v>
      </c>
      <c r="AE31" s="30">
        <v>3054.9</v>
      </c>
      <c r="AF31" s="30">
        <v>3381.0000000000005</v>
      </c>
      <c r="AG31" s="9">
        <v>19968.900000000001</v>
      </c>
      <c r="AI31" s="30">
        <v>7499.9000000000005</v>
      </c>
      <c r="AJ31" s="30">
        <v>7499.2999999999993</v>
      </c>
      <c r="AK31" s="30">
        <v>7500.4</v>
      </c>
      <c r="AL31" s="30">
        <v>7506.8</v>
      </c>
      <c r="AM31" s="36">
        <v>30006.399999999998</v>
      </c>
    </row>
    <row r="32" spans="1:39" x14ac:dyDescent="0.2">
      <c r="A32" s="12">
        <v>30</v>
      </c>
      <c r="B32" s="12">
        <v>0.9</v>
      </c>
      <c r="C32" s="12">
        <v>0.99</v>
      </c>
      <c r="D32" s="12">
        <v>0.83</v>
      </c>
      <c r="E32" s="12">
        <v>0.81</v>
      </c>
      <c r="F32" s="20">
        <v>3.6</v>
      </c>
      <c r="G32" s="20">
        <v>2.5</v>
      </c>
      <c r="H32" s="20">
        <v>3.1</v>
      </c>
      <c r="I32" s="20">
        <v>1.9</v>
      </c>
      <c r="J32" s="12">
        <v>0.59608595272725196</v>
      </c>
      <c r="K32" s="12">
        <f>J32*0.929</f>
        <v>0.55376385008361706</v>
      </c>
      <c r="L32" s="12">
        <v>0.16623177252525001</v>
      </c>
      <c r="M32" s="12">
        <v>0.189504220678785</v>
      </c>
      <c r="N32" s="12">
        <v>3.3799927660520601</v>
      </c>
      <c r="O32" s="12">
        <f>N32*0.75</f>
        <v>2.534994574539045</v>
      </c>
      <c r="P32" s="12" t="b">
        <f>IF(J32*1000&gt;K32*1000,TRUE,FALSE)</f>
        <v>1</v>
      </c>
      <c r="Q32" s="12" t="b">
        <f>IF(L32*1000&lt;M32*1000,TRUE,FALSE)</f>
        <v>1</v>
      </c>
      <c r="R32" s="12" t="b">
        <f>IF(N32*1000&gt;O32*1000,TRUE,FALSE)</f>
        <v>1</v>
      </c>
      <c r="S32" s="12" t="str">
        <f t="shared" si="0"/>
        <v>Satisfied</v>
      </c>
      <c r="T32" s="9">
        <v>30</v>
      </c>
      <c r="U32" s="9">
        <v>92000</v>
      </c>
      <c r="V32" s="9" t="s">
        <v>23</v>
      </c>
      <c r="W32" s="9">
        <v>86000</v>
      </c>
      <c r="X32" s="9" t="s">
        <v>23</v>
      </c>
      <c r="Y32" s="23">
        <f t="shared" si="2"/>
        <v>-6000</v>
      </c>
      <c r="Z32" s="9" t="str">
        <f t="shared" si="3"/>
        <v>Uniform</v>
      </c>
      <c r="AA32" s="21">
        <f t="shared" si="4"/>
        <v>-6.5217391304347823</v>
      </c>
      <c r="AB32" s="34"/>
      <c r="AC32" s="30">
        <v>60282</v>
      </c>
      <c r="AD32" s="30">
        <v>7370</v>
      </c>
      <c r="AE32" s="30">
        <v>7604.3</v>
      </c>
      <c r="AF32" s="30">
        <v>16493.899999999998</v>
      </c>
      <c r="AG32" s="9">
        <v>91750.2</v>
      </c>
      <c r="AI32" s="30">
        <v>21369.600000000002</v>
      </c>
      <c r="AJ32" s="30">
        <v>21505</v>
      </c>
      <c r="AK32" s="30">
        <v>21467.5</v>
      </c>
      <c r="AL32" s="30">
        <v>21490.899999999998</v>
      </c>
      <c r="AM32" s="9">
        <v>85833</v>
      </c>
    </row>
    <row r="33" spans="3:36" x14ac:dyDescent="0.2">
      <c r="N33"/>
      <c r="O33"/>
      <c r="P33"/>
      <c r="Q33"/>
      <c r="R33" s="10" t="s">
        <v>23</v>
      </c>
      <c r="S33" s="11">
        <f>COUNTIF(W19:W48,"Satisfied")</f>
        <v>0</v>
      </c>
      <c r="T33" s="4" t="s">
        <v>24</v>
      </c>
      <c r="U33" s="4">
        <f>SUM(Y19:Y48)</f>
        <v>1355670.3</v>
      </c>
      <c r="V33" s="4" t="str">
        <f>IF(U33&gt;W33,"&gt;",IF(U33=W33,"=","&lt;"))</f>
        <v>&gt;</v>
      </c>
      <c r="W33" s="4">
        <f>SUM(AA3:AA32)</f>
        <v>1159.5596752502058</v>
      </c>
      <c r="X33" s="4" t="s">
        <v>25</v>
      </c>
      <c r="Y33" s="4">
        <f>SUM(AC19:AC46)</f>
        <v>980670.3</v>
      </c>
      <c r="Z33" s="5" t="s">
        <v>26</v>
      </c>
      <c r="AA33" s="6">
        <f>AVERAGE(AA3:AA32)</f>
        <v>38.651989175006861</v>
      </c>
    </row>
    <row r="34" spans="3:36" x14ac:dyDescent="0.2">
      <c r="N34"/>
      <c r="O34"/>
      <c r="P34"/>
      <c r="Q34"/>
      <c r="R34" s="3" t="s">
        <v>22</v>
      </c>
      <c r="S34" s="3">
        <f>COUNTIF(W19:W48,"Violated")</f>
        <v>0</v>
      </c>
      <c r="Z34" s="5" t="s">
        <v>27</v>
      </c>
      <c r="AA34" s="6">
        <f>STDEV(AA3:AA32)</f>
        <v>67.809848275138236</v>
      </c>
    </row>
    <row r="35" spans="3:36" x14ac:dyDescent="0.2">
      <c r="N35"/>
      <c r="O35"/>
      <c r="P35"/>
      <c r="Q35"/>
      <c r="Z35" s="2" t="s">
        <v>28</v>
      </c>
      <c r="AA35" s="3">
        <f>COUNTIF(Z3:Z32,"Uniform")</f>
        <v>9</v>
      </c>
      <c r="AF35" s="35" t="s">
        <v>44</v>
      </c>
      <c r="AG35" s="43" t="s">
        <v>40</v>
      </c>
      <c r="AH35" s="43"/>
      <c r="AI35" s="43"/>
      <c r="AJ35" s="43"/>
    </row>
    <row r="36" spans="3:36" x14ac:dyDescent="0.2">
      <c r="N36"/>
      <c r="O36"/>
      <c r="P36"/>
      <c r="Q36"/>
      <c r="Z36" s="3" t="s">
        <v>29</v>
      </c>
      <c r="AA36" s="3">
        <f>COUNTIF(Z3:Z32,"Non-uniform")</f>
        <v>21</v>
      </c>
      <c r="AF36" s="35" t="s">
        <v>45</v>
      </c>
      <c r="AG36" s="43" t="s">
        <v>41</v>
      </c>
      <c r="AH36" s="43"/>
      <c r="AI36" s="43"/>
      <c r="AJ36" s="43"/>
    </row>
    <row r="37" spans="3:36" x14ac:dyDescent="0.2">
      <c r="N37"/>
      <c r="O37"/>
      <c r="P37"/>
      <c r="Q37"/>
      <c r="X37" s="8"/>
      <c r="Z37" s="3" t="s">
        <v>30</v>
      </c>
      <c r="AA37" s="3">
        <f>COUNTIF(Z3:Z32,"equal")</f>
        <v>0</v>
      </c>
      <c r="AF37" s="35" t="s">
        <v>46</v>
      </c>
      <c r="AG37" s="43" t="s">
        <v>42</v>
      </c>
      <c r="AH37" s="43"/>
      <c r="AI37" s="43"/>
      <c r="AJ37" s="43"/>
    </row>
    <row r="38" spans="3:36" x14ac:dyDescent="0.2">
      <c r="N38"/>
      <c r="O38"/>
      <c r="P38"/>
      <c r="Q38"/>
      <c r="Z38" s="7" t="s">
        <v>24</v>
      </c>
      <c r="AA38" s="7">
        <f>SUM(AA35:AA37)</f>
        <v>30</v>
      </c>
      <c r="AF38" s="35" t="s">
        <v>47</v>
      </c>
      <c r="AG38" s="43" t="s">
        <v>43</v>
      </c>
      <c r="AH38" s="43"/>
      <c r="AI38" s="43"/>
      <c r="AJ38" s="43"/>
    </row>
    <row r="40" spans="3:36" x14ac:dyDescent="0.2">
      <c r="C40" s="12" t="s">
        <v>32</v>
      </c>
      <c r="D40" s="12" t="s">
        <v>31</v>
      </c>
      <c r="E40" s="12"/>
      <c r="F40" s="12" t="s">
        <v>33</v>
      </c>
    </row>
    <row r="41" spans="3:36" x14ac:dyDescent="0.2">
      <c r="C41" s="12">
        <v>2019</v>
      </c>
      <c r="D41" s="12">
        <v>2000</v>
      </c>
      <c r="E41" s="12"/>
      <c r="F41" s="12" t="s">
        <v>34</v>
      </c>
    </row>
    <row r="42" spans="3:36" x14ac:dyDescent="0.2">
      <c r="C42" s="17">
        <v>2019</v>
      </c>
      <c r="D42" s="17">
        <v>1000</v>
      </c>
      <c r="E42" s="17"/>
      <c r="F42" s="17" t="s">
        <v>34</v>
      </c>
    </row>
    <row r="43" spans="3:36" x14ac:dyDescent="0.2">
      <c r="C43"/>
      <c r="D43"/>
      <c r="E43"/>
      <c r="F43"/>
    </row>
    <row r="44" spans="3:36" x14ac:dyDescent="0.2">
      <c r="C44"/>
      <c r="D44"/>
      <c r="E44"/>
      <c r="F44"/>
    </row>
    <row r="46" spans="3:36" x14ac:dyDescent="0.2">
      <c r="J46" s="16"/>
    </row>
  </sheetData>
  <mergeCells count="33">
    <mergeCell ref="AM1:AM2"/>
    <mergeCell ref="M1:M2"/>
    <mergeCell ref="N1:N2"/>
    <mergeCell ref="O1:O2"/>
    <mergeCell ref="AC1:AF1"/>
    <mergeCell ref="AG1:AG2"/>
    <mergeCell ref="AA1:AA2"/>
    <mergeCell ref="T1:T2"/>
    <mergeCell ref="U1:V1"/>
    <mergeCell ref="W1:X1"/>
    <mergeCell ref="Y1:Y2"/>
    <mergeCell ref="Z1:Z2"/>
    <mergeCell ref="P1:P2"/>
    <mergeCell ref="Q1:Q2"/>
    <mergeCell ref="R1:R2"/>
    <mergeCell ref="K1:K2"/>
    <mergeCell ref="L1:L2"/>
    <mergeCell ref="A1:A2"/>
    <mergeCell ref="B1:B2"/>
    <mergeCell ref="C1:C2"/>
    <mergeCell ref="D1:D2"/>
    <mergeCell ref="E1:E2"/>
    <mergeCell ref="F1:F2"/>
    <mergeCell ref="G1:G2"/>
    <mergeCell ref="H1:H2"/>
    <mergeCell ref="I1:I2"/>
    <mergeCell ref="J1:J2"/>
    <mergeCell ref="AG35:AJ35"/>
    <mergeCell ref="AG36:AJ36"/>
    <mergeCell ref="AG37:AJ37"/>
    <mergeCell ref="AG38:AJ38"/>
    <mergeCell ref="S1:S2"/>
    <mergeCell ref="AI1:AL1"/>
  </mergeCells>
  <conditionalFormatting sqref="Z3:Z12 Z14:Z32">
    <cfRule type="expression" dxfId="2" priority="1">
      <formula>$AJ3="Non-Uniform"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4A4376-BEF7-A04B-A71C-D13E20621704}">
  <dimension ref="A1:AM52"/>
  <sheetViews>
    <sheetView zoomScaleNormal="100" workbookViewId="0">
      <selection activeCell="A3" sqref="A3"/>
    </sheetView>
  </sheetViews>
  <sheetFormatPr baseColWidth="10" defaultColWidth="8.83203125" defaultRowHeight="15" x14ac:dyDescent="0.2"/>
  <cols>
    <col min="2" max="2" width="11.1640625" bestFit="1" customWidth="1"/>
    <col min="3" max="3" width="19.6640625" bestFit="1" customWidth="1"/>
    <col min="4" max="4" width="18" bestFit="1" customWidth="1"/>
    <col min="5" max="5" width="14.5" bestFit="1" customWidth="1"/>
    <col min="6" max="6" width="7.5" customWidth="1"/>
    <col min="7" max="7" width="7.83203125" customWidth="1"/>
    <col min="8" max="8" width="7.6640625" customWidth="1"/>
    <col min="9" max="9" width="7.83203125" customWidth="1"/>
    <col min="10" max="11" width="21.33203125" bestFit="1" customWidth="1"/>
    <col min="12" max="12" width="20.1640625" bestFit="1" customWidth="1"/>
    <col min="13" max="13" width="21.33203125" bestFit="1" customWidth="1"/>
    <col min="14" max="15" width="7.83203125" bestFit="1" customWidth="1"/>
    <col min="22" max="22" width="8.83203125" customWidth="1"/>
    <col min="23" max="23" width="13.83203125" customWidth="1"/>
    <col min="24" max="24" width="9.5" customWidth="1"/>
    <col min="25" max="25" width="12.6640625" customWidth="1"/>
    <col min="26" max="26" width="20.6640625" customWidth="1"/>
    <col min="27" max="27" width="24.6640625" customWidth="1"/>
    <col min="28" max="28" width="8.83203125" customWidth="1"/>
    <col min="29" max="29" width="13" customWidth="1"/>
    <col min="30" max="30" width="19" customWidth="1"/>
    <col min="31" max="31" width="17" customWidth="1"/>
    <col min="32" max="33" width="14.6640625" customWidth="1"/>
    <col min="34" max="34" width="8.83203125" customWidth="1"/>
    <col min="35" max="35" width="11.6640625" customWidth="1"/>
    <col min="36" max="36" width="17.83203125" customWidth="1"/>
    <col min="37" max="37" width="18.83203125" customWidth="1"/>
    <col min="38" max="38" width="14.33203125" customWidth="1"/>
    <col min="39" max="39" width="14.5" customWidth="1"/>
  </cols>
  <sheetData>
    <row r="1" spans="1:39" x14ac:dyDescent="0.2">
      <c r="A1" s="49" t="s">
        <v>13</v>
      </c>
      <c r="B1" s="49" t="s">
        <v>0</v>
      </c>
      <c r="C1" s="49" t="s">
        <v>1</v>
      </c>
      <c r="D1" s="49" t="s">
        <v>2</v>
      </c>
      <c r="E1" s="49" t="s">
        <v>3</v>
      </c>
      <c r="F1" s="44" t="s">
        <v>35</v>
      </c>
      <c r="G1" s="44" t="s">
        <v>36</v>
      </c>
      <c r="H1" s="44" t="s">
        <v>37</v>
      </c>
      <c r="I1" s="44" t="s">
        <v>38</v>
      </c>
      <c r="J1" s="49" t="s">
        <v>4</v>
      </c>
      <c r="K1" s="49" t="s">
        <v>5</v>
      </c>
      <c r="L1" s="49" t="s">
        <v>6</v>
      </c>
      <c r="M1" s="49" t="s">
        <v>7</v>
      </c>
      <c r="N1" s="49" t="s">
        <v>8</v>
      </c>
      <c r="O1" s="49" t="s">
        <v>9</v>
      </c>
      <c r="P1" s="49" t="s">
        <v>10</v>
      </c>
      <c r="Q1" s="49" t="s">
        <v>11</v>
      </c>
      <c r="R1" s="49" t="s">
        <v>12</v>
      </c>
      <c r="S1" s="49" t="s">
        <v>20</v>
      </c>
      <c r="T1" s="60" t="s">
        <v>13</v>
      </c>
      <c r="U1" s="60" t="s">
        <v>14</v>
      </c>
      <c r="V1" s="60"/>
      <c r="W1" s="60" t="s">
        <v>15</v>
      </c>
      <c r="X1" s="60"/>
      <c r="Y1" s="61" t="s">
        <v>16</v>
      </c>
      <c r="Z1" s="60" t="s">
        <v>17</v>
      </c>
      <c r="AA1" s="52" t="s">
        <v>18</v>
      </c>
      <c r="AB1" s="34"/>
      <c r="AC1" s="46" t="s">
        <v>48</v>
      </c>
      <c r="AD1" s="47"/>
      <c r="AE1" s="47"/>
      <c r="AF1" s="48"/>
      <c r="AG1" s="50" t="s">
        <v>49</v>
      </c>
      <c r="AH1" s="7"/>
      <c r="AI1" s="46" t="s">
        <v>48</v>
      </c>
      <c r="AJ1" s="47"/>
      <c r="AK1" s="47"/>
      <c r="AL1" s="48"/>
      <c r="AM1" s="50" t="s">
        <v>50</v>
      </c>
    </row>
    <row r="2" spans="1:39" x14ac:dyDescent="0.2">
      <c r="A2" s="49"/>
      <c r="B2" s="49"/>
      <c r="C2" s="49"/>
      <c r="D2" s="49"/>
      <c r="E2" s="49"/>
      <c r="F2" s="45"/>
      <c r="G2" s="45"/>
      <c r="H2" s="45"/>
      <c r="I2" s="45"/>
      <c r="J2" s="49"/>
      <c r="K2" s="49"/>
      <c r="L2" s="49"/>
      <c r="M2" s="49"/>
      <c r="N2" s="49"/>
      <c r="O2" s="49"/>
      <c r="P2" s="49"/>
      <c r="Q2" s="49"/>
      <c r="R2" s="49"/>
      <c r="S2" s="49"/>
      <c r="T2" s="60"/>
      <c r="U2" s="15" t="s">
        <v>19</v>
      </c>
      <c r="V2" s="14" t="s">
        <v>20</v>
      </c>
      <c r="W2" s="1" t="s">
        <v>21</v>
      </c>
      <c r="X2" s="14" t="s">
        <v>20</v>
      </c>
      <c r="Y2" s="61"/>
      <c r="Z2" s="60"/>
      <c r="AA2" s="53"/>
      <c r="AB2" s="34"/>
      <c r="AC2" s="38" t="s">
        <v>44</v>
      </c>
      <c r="AD2" s="38" t="s">
        <v>45</v>
      </c>
      <c r="AE2" s="38" t="s">
        <v>46</v>
      </c>
      <c r="AF2" s="38" t="s">
        <v>47</v>
      </c>
      <c r="AG2" s="51"/>
      <c r="AH2" s="7"/>
      <c r="AI2" s="38" t="s">
        <v>44</v>
      </c>
      <c r="AJ2" s="38" t="s">
        <v>45</v>
      </c>
      <c r="AK2" s="38" t="s">
        <v>46</v>
      </c>
      <c r="AL2" s="38" t="s">
        <v>47</v>
      </c>
      <c r="AM2" s="51"/>
    </row>
    <row r="3" spans="1:39" x14ac:dyDescent="0.2">
      <c r="A3" s="12">
        <v>1</v>
      </c>
      <c r="B3" s="12">
        <v>0.85</v>
      </c>
      <c r="C3" s="12">
        <v>0.85</v>
      </c>
      <c r="D3" s="12">
        <v>0.88</v>
      </c>
      <c r="E3" s="12">
        <v>0.8</v>
      </c>
      <c r="F3" s="20">
        <v>2.1</v>
      </c>
      <c r="G3" s="20">
        <v>4.4000000000000004</v>
      </c>
      <c r="H3" s="20">
        <v>2.6</v>
      </c>
      <c r="I3" s="20">
        <v>1.5</v>
      </c>
      <c r="J3" s="12">
        <v>0.50012920788864001</v>
      </c>
      <c r="K3" s="12">
        <v>0.47012145541532102</v>
      </c>
      <c r="L3" s="12">
        <v>0.23825809550975999</v>
      </c>
      <c r="M3" s="12">
        <v>0.20013680022819838</v>
      </c>
      <c r="N3" s="12">
        <v>3.1738703633599998</v>
      </c>
      <c r="O3" s="12">
        <v>2.9929597526484795</v>
      </c>
      <c r="P3" s="12" t="b">
        <v>1</v>
      </c>
      <c r="Q3" s="12" t="b">
        <v>0</v>
      </c>
      <c r="R3" s="12" t="b">
        <v>1</v>
      </c>
      <c r="S3" s="12" t="str">
        <f t="shared" ref="S3:S32" si="0">IF(OR(P3=FALSE,Q3=FALSE,R3=FALSE),"Violated","Satisfied")</f>
        <v>Violated</v>
      </c>
      <c r="T3" s="9">
        <v>1</v>
      </c>
      <c r="U3" s="9">
        <v>42000</v>
      </c>
      <c r="V3" s="9" t="s">
        <v>22</v>
      </c>
      <c r="W3" s="9">
        <v>68000</v>
      </c>
      <c r="X3" s="9" t="s">
        <v>22</v>
      </c>
      <c r="Y3" s="9">
        <f>W3-U3</f>
        <v>26000</v>
      </c>
      <c r="Z3" s="9" t="str">
        <f>IF(W3=U3,"equal",IF(W3&lt;U3,"Uniform","Non-Uniform"))</f>
        <v>Non-Uniform</v>
      </c>
      <c r="AA3" s="21">
        <f>(Y3*100)/U3</f>
        <v>61.904761904761905</v>
      </c>
      <c r="AB3" s="34"/>
      <c r="AC3" s="30">
        <v>27633.9</v>
      </c>
      <c r="AD3" s="30">
        <v>4004.0000000000005</v>
      </c>
      <c r="AE3" s="30">
        <v>4149.6000000000004</v>
      </c>
      <c r="AF3" s="30">
        <v>6145.5</v>
      </c>
      <c r="AG3" s="9">
        <v>41933</v>
      </c>
      <c r="AH3" s="7"/>
      <c r="AI3" s="30">
        <v>16997.400000000001</v>
      </c>
      <c r="AJ3" s="30">
        <v>16913.600000000002</v>
      </c>
      <c r="AK3" s="30">
        <v>16978</v>
      </c>
      <c r="AL3" s="30">
        <v>16986</v>
      </c>
      <c r="AM3" s="9">
        <v>67875</v>
      </c>
    </row>
    <row r="4" spans="1:39" x14ac:dyDescent="0.2">
      <c r="A4" s="12">
        <v>2</v>
      </c>
      <c r="B4" s="12">
        <v>0.85</v>
      </c>
      <c r="C4" s="12">
        <v>0.87</v>
      </c>
      <c r="D4" s="12">
        <v>0.88</v>
      </c>
      <c r="E4" s="12">
        <v>0.8</v>
      </c>
      <c r="F4" s="20">
        <v>3.7</v>
      </c>
      <c r="G4" s="20">
        <v>1.9</v>
      </c>
      <c r="H4" s="20">
        <v>4.0999999999999996</v>
      </c>
      <c r="I4" s="20">
        <v>2</v>
      </c>
      <c r="J4" s="12">
        <v>0.50580295644595197</v>
      </c>
      <c r="K4" s="12">
        <v>0.46533871993027498</v>
      </c>
      <c r="L4" s="12">
        <v>0.23925934525516801</v>
      </c>
      <c r="M4" s="12">
        <v>0.22251119108730599</v>
      </c>
      <c r="N4" s="12">
        <v>3.1888891027519999</v>
      </c>
      <c r="O4" s="12">
        <v>3.2158891219996799</v>
      </c>
      <c r="P4" s="12" t="b">
        <f t="shared" ref="P4:P6" si="1">IF(J4*1000&gt;K4*1000,TRUE,FALSE)</f>
        <v>1</v>
      </c>
      <c r="Q4" s="12" t="b">
        <f t="shared" ref="Q4:Q16" si="2">IF(L4*1000&lt;M4*1000,TRUE,FALSE)</f>
        <v>0</v>
      </c>
      <c r="R4" s="12" t="b">
        <f t="shared" ref="R4:R6" si="3">IF(N4*1000&gt;O4*1000,TRUE,FALSE)</f>
        <v>0</v>
      </c>
      <c r="S4" s="12" t="str">
        <f t="shared" si="0"/>
        <v>Violated</v>
      </c>
      <c r="T4" s="9">
        <v>2</v>
      </c>
      <c r="U4" s="9">
        <v>384000</v>
      </c>
      <c r="V4" s="9" t="s">
        <v>22</v>
      </c>
      <c r="W4" s="9">
        <v>598000</v>
      </c>
      <c r="X4" s="9" t="s">
        <v>22</v>
      </c>
      <c r="Y4" s="42">
        <f t="shared" ref="Y4:Y32" si="4">W4-U4</f>
        <v>214000</v>
      </c>
      <c r="Z4" s="9" t="str">
        <f t="shared" ref="Z4:Z32" si="5">IF(W4=U4,"equal",IF(W4&lt;U4,"Uniform","Non-Uniform"))</f>
        <v>Non-Uniform</v>
      </c>
      <c r="AA4" s="21">
        <f t="shared" ref="AA4:AA32" si="6">(Y4*100)/U4</f>
        <v>55.729166666666664</v>
      </c>
      <c r="AB4" s="34"/>
      <c r="AC4" s="30">
        <v>257057.5</v>
      </c>
      <c r="AD4" s="30">
        <v>38847.4</v>
      </c>
      <c r="AE4" s="30">
        <v>40016</v>
      </c>
      <c r="AF4" s="30">
        <v>46882</v>
      </c>
      <c r="AG4" s="9">
        <v>382802.9</v>
      </c>
      <c r="AH4" s="7"/>
      <c r="AI4" s="30">
        <v>149357.9</v>
      </c>
      <c r="AJ4" s="30">
        <v>149414.1</v>
      </c>
      <c r="AK4" s="30">
        <v>148342.09999999998</v>
      </c>
      <c r="AL4" s="30">
        <v>149504</v>
      </c>
      <c r="AM4" s="9">
        <v>596618.1</v>
      </c>
    </row>
    <row r="5" spans="1:39" x14ac:dyDescent="0.2">
      <c r="A5" s="12">
        <v>3</v>
      </c>
      <c r="B5" s="12">
        <v>0.88</v>
      </c>
      <c r="C5" s="12">
        <v>0.92</v>
      </c>
      <c r="D5" s="12">
        <v>0.83</v>
      </c>
      <c r="E5" s="12">
        <v>0.96</v>
      </c>
      <c r="F5" s="20">
        <v>2.7</v>
      </c>
      <c r="G5" s="20">
        <v>4.4000000000000004</v>
      </c>
      <c r="H5" s="20">
        <v>4.2</v>
      </c>
      <c r="I5" s="20">
        <v>4.4000000000000004</v>
      </c>
      <c r="J5" s="12">
        <v>0.64988082159242799</v>
      </c>
      <c r="K5" s="12">
        <f>J5*1.07</f>
        <v>0.69537247910389799</v>
      </c>
      <c r="L5" s="12">
        <v>0.20862011203533101</v>
      </c>
      <c r="M5" s="12">
        <f>L5*0.97</f>
        <v>0.20236150867427108</v>
      </c>
      <c r="N5" s="12">
        <v>3.3877714752546901</v>
      </c>
      <c r="O5" s="12">
        <v>3.4604263375327098</v>
      </c>
      <c r="P5" s="12" t="b">
        <f t="shared" si="1"/>
        <v>0</v>
      </c>
      <c r="Q5" s="12" t="b">
        <f t="shared" si="2"/>
        <v>0</v>
      </c>
      <c r="R5" s="12" t="b">
        <f t="shared" si="3"/>
        <v>0</v>
      </c>
      <c r="S5" s="12" t="str">
        <f t="shared" si="0"/>
        <v>Violated</v>
      </c>
      <c r="T5" s="9">
        <v>3</v>
      </c>
      <c r="U5" s="9">
        <v>182000</v>
      </c>
      <c r="V5" s="9" t="s">
        <v>22</v>
      </c>
      <c r="W5" s="9">
        <v>210000</v>
      </c>
      <c r="X5" s="9" t="s">
        <v>22</v>
      </c>
      <c r="Y5" s="42">
        <f t="shared" si="4"/>
        <v>28000</v>
      </c>
      <c r="Z5" s="9" t="str">
        <f t="shared" si="5"/>
        <v>Non-Uniform</v>
      </c>
      <c r="AA5" s="21">
        <f t="shared" si="6"/>
        <v>15.384615384615385</v>
      </c>
      <c r="AB5" s="34"/>
      <c r="AC5" s="30">
        <v>100515.6</v>
      </c>
      <c r="AD5" s="30">
        <v>22096.800000000003</v>
      </c>
      <c r="AE5" s="30">
        <v>22902.600000000002</v>
      </c>
      <c r="AF5" s="30">
        <v>35785.200000000004</v>
      </c>
      <c r="AG5" s="9">
        <v>181300.2</v>
      </c>
      <c r="AH5" s="7"/>
      <c r="AI5" s="30">
        <v>52452.9</v>
      </c>
      <c r="AJ5" s="30">
        <v>52214.8</v>
      </c>
      <c r="AK5" s="30">
        <v>52487.4</v>
      </c>
      <c r="AL5" s="30">
        <v>52214.8</v>
      </c>
      <c r="AM5" s="9">
        <v>209369.90000000002</v>
      </c>
    </row>
    <row r="6" spans="1:39" x14ac:dyDescent="0.2">
      <c r="A6" s="12">
        <v>4</v>
      </c>
      <c r="B6" s="12">
        <v>0.97</v>
      </c>
      <c r="C6" s="12">
        <v>0.81</v>
      </c>
      <c r="D6" s="12">
        <v>0.91</v>
      </c>
      <c r="E6" s="12">
        <v>0.82</v>
      </c>
      <c r="F6" s="20">
        <v>2.2000000000000002</v>
      </c>
      <c r="G6" s="20">
        <v>3.3</v>
      </c>
      <c r="H6" s="20">
        <v>2.7</v>
      </c>
      <c r="I6" s="20">
        <v>4.3</v>
      </c>
      <c r="J6" s="12">
        <v>0.66423159016123001</v>
      </c>
      <c r="K6" s="12">
        <f>J6*0.85</f>
        <v>0.56459685163704554</v>
      </c>
      <c r="L6" s="12">
        <v>5.0543245056532897E-2</v>
      </c>
      <c r="M6" s="12">
        <v>5.6754109957663501E-2</v>
      </c>
      <c r="N6" s="12">
        <v>3.4898648510276198</v>
      </c>
      <c r="O6" s="12">
        <v>3.3502702569865099</v>
      </c>
      <c r="P6" s="12" t="b">
        <f t="shared" si="1"/>
        <v>1</v>
      </c>
      <c r="Q6" s="12" t="b">
        <f t="shared" si="2"/>
        <v>1</v>
      </c>
      <c r="R6" s="12" t="b">
        <f t="shared" si="3"/>
        <v>1</v>
      </c>
      <c r="S6" s="12" t="str">
        <f t="shared" si="0"/>
        <v>Satisfied</v>
      </c>
      <c r="T6" s="9">
        <v>4</v>
      </c>
      <c r="U6" s="9">
        <v>326000</v>
      </c>
      <c r="V6" s="9" t="s">
        <v>23</v>
      </c>
      <c r="W6" s="9">
        <v>474000</v>
      </c>
      <c r="X6" s="9" t="s">
        <v>23</v>
      </c>
      <c r="Y6" s="42">
        <f t="shared" si="4"/>
        <v>148000</v>
      </c>
      <c r="Z6" s="9" t="str">
        <f t="shared" si="5"/>
        <v>Non-Uniform</v>
      </c>
      <c r="AA6" s="21">
        <f t="shared" si="6"/>
        <v>45.398773006134967</v>
      </c>
      <c r="AB6" s="34"/>
      <c r="AC6" s="30">
        <v>295358.80000000005</v>
      </c>
      <c r="AD6" s="30">
        <v>8807.6999999999989</v>
      </c>
      <c r="AE6" s="30">
        <v>9099</v>
      </c>
      <c r="AF6" s="30">
        <v>11893.8</v>
      </c>
      <c r="AG6" s="9">
        <v>325159.30000000005</v>
      </c>
      <c r="AH6" s="7"/>
      <c r="AI6" s="30">
        <v>118362.20000000001</v>
      </c>
      <c r="AJ6" s="30">
        <v>118103.7</v>
      </c>
      <c r="AK6" s="30">
        <v>118386.90000000001</v>
      </c>
      <c r="AL6" s="30">
        <v>118224.2</v>
      </c>
      <c r="AM6" s="9">
        <v>473077.00000000006</v>
      </c>
    </row>
    <row r="7" spans="1:39" x14ac:dyDescent="0.2">
      <c r="A7" s="12">
        <v>5</v>
      </c>
      <c r="B7" s="12">
        <v>0.98</v>
      </c>
      <c r="C7" s="12">
        <v>0.88</v>
      </c>
      <c r="D7" s="12">
        <v>0.83</v>
      </c>
      <c r="E7" s="12">
        <v>0.81</v>
      </c>
      <c r="F7" s="20">
        <v>3.3</v>
      </c>
      <c r="G7" s="20">
        <v>4.7</v>
      </c>
      <c r="H7" s="20">
        <v>3.6</v>
      </c>
      <c r="I7" s="20">
        <v>2.5</v>
      </c>
      <c r="J7" s="12">
        <v>0.66476729842624005</v>
      </c>
      <c r="K7" s="12">
        <v>0.644824279473452</v>
      </c>
      <c r="L7" s="12">
        <v>3.3566679559719197E-2</v>
      </c>
      <c r="M7" s="12">
        <f>L7*1.9</f>
        <v>6.3776691163466473E-2</v>
      </c>
      <c r="N7" s="12">
        <v>3.49578211050048</v>
      </c>
      <c r="O7" s="12">
        <v>3.5899650692855598</v>
      </c>
      <c r="P7" s="12" t="b">
        <f t="shared" ref="P7:P16" si="7">IF(J7*1000&gt;K7*1000,TRUE,FALSE)</f>
        <v>1</v>
      </c>
      <c r="Q7" s="12" t="b">
        <f t="shared" si="2"/>
        <v>1</v>
      </c>
      <c r="R7" s="12" t="b">
        <f t="shared" ref="R7:R16" si="8">IF(N7*1000&gt;O7*1000,TRUE,FALSE)</f>
        <v>0</v>
      </c>
      <c r="S7" s="12" t="str">
        <f t="shared" si="0"/>
        <v>Violated</v>
      </c>
      <c r="T7" s="9">
        <v>5</v>
      </c>
      <c r="U7" s="9">
        <v>128000</v>
      </c>
      <c r="V7" s="9" t="s">
        <v>22</v>
      </c>
      <c r="W7" s="9">
        <v>120000</v>
      </c>
      <c r="X7" s="9" t="s">
        <v>22</v>
      </c>
      <c r="Y7" s="42">
        <f t="shared" si="4"/>
        <v>-8000</v>
      </c>
      <c r="Z7" s="9" t="str">
        <f t="shared" si="5"/>
        <v>Uniform</v>
      </c>
      <c r="AA7" s="21">
        <f t="shared" si="6"/>
        <v>-6.25</v>
      </c>
      <c r="AB7" s="34"/>
      <c r="AC7" s="30">
        <v>62825.399999999994</v>
      </c>
      <c r="AD7" s="30">
        <v>19768.2</v>
      </c>
      <c r="AE7" s="30">
        <v>20599.2</v>
      </c>
      <c r="AF7" s="30">
        <v>24360</v>
      </c>
      <c r="AG7" s="9">
        <v>127552.79999999999</v>
      </c>
      <c r="AH7" s="7"/>
      <c r="AI7" s="30">
        <v>29904.6</v>
      </c>
      <c r="AJ7" s="30">
        <v>29901.4</v>
      </c>
      <c r="AK7" s="30">
        <v>29815.200000000001</v>
      </c>
      <c r="AL7" s="30">
        <v>30005</v>
      </c>
      <c r="AM7" s="9">
        <v>119626.2</v>
      </c>
    </row>
    <row r="8" spans="1:39" x14ac:dyDescent="0.2">
      <c r="A8" s="12">
        <v>6</v>
      </c>
      <c r="B8" s="12">
        <v>0.94</v>
      </c>
      <c r="C8" s="12">
        <v>0.98</v>
      </c>
      <c r="D8" s="12">
        <v>0.91</v>
      </c>
      <c r="E8" s="12">
        <v>0.88</v>
      </c>
      <c r="F8" s="20">
        <v>3.3</v>
      </c>
      <c r="G8" s="20">
        <v>4.3</v>
      </c>
      <c r="H8" s="20">
        <v>3</v>
      </c>
      <c r="I8" s="20">
        <v>4.7</v>
      </c>
      <c r="J8" s="12">
        <v>0.73430124419284004</v>
      </c>
      <c r="K8" s="12">
        <v>0.66821413221548398</v>
      </c>
      <c r="L8" s="12">
        <v>0.106870292182521</v>
      </c>
      <c r="M8" s="12">
        <f>L8*0.89</f>
        <v>9.5114560042443688E-2</v>
      </c>
      <c r="N8" s="12">
        <v>3.60886512027349</v>
      </c>
      <c r="O8" s="12">
        <v>3.4645105154625502</v>
      </c>
      <c r="P8" s="12" t="b">
        <f t="shared" si="7"/>
        <v>1</v>
      </c>
      <c r="Q8" s="12" t="b">
        <f t="shared" si="2"/>
        <v>0</v>
      </c>
      <c r="R8" s="12" t="b">
        <f t="shared" si="8"/>
        <v>1</v>
      </c>
      <c r="S8" s="12" t="str">
        <f t="shared" si="0"/>
        <v>Violated</v>
      </c>
      <c r="T8" s="9">
        <v>6</v>
      </c>
      <c r="U8" s="9">
        <v>332000</v>
      </c>
      <c r="V8" s="9" t="s">
        <v>22</v>
      </c>
      <c r="W8" s="9">
        <v>718000</v>
      </c>
      <c r="X8" s="9" t="s">
        <v>22</v>
      </c>
      <c r="Y8" s="42">
        <f t="shared" si="4"/>
        <v>386000</v>
      </c>
      <c r="Z8" s="9" t="str">
        <f t="shared" si="5"/>
        <v>Non-Uniform</v>
      </c>
      <c r="AA8" s="21">
        <f t="shared" si="6"/>
        <v>116.26506024096386</v>
      </c>
      <c r="AB8" s="34"/>
      <c r="AC8" s="30">
        <v>285136.5</v>
      </c>
      <c r="AD8" s="30">
        <v>11876.6</v>
      </c>
      <c r="AE8" s="30">
        <v>12366</v>
      </c>
      <c r="AF8" s="30">
        <v>21826.799999999999</v>
      </c>
      <c r="AG8" s="9">
        <v>331205.89999999997</v>
      </c>
      <c r="AH8" s="7"/>
      <c r="AI8" s="30">
        <v>178896.3</v>
      </c>
      <c r="AJ8" s="30">
        <v>179077.8</v>
      </c>
      <c r="AK8" s="30">
        <v>178788</v>
      </c>
      <c r="AL8" s="30">
        <v>178863.2</v>
      </c>
      <c r="AM8" s="9">
        <v>715625.3</v>
      </c>
    </row>
    <row r="9" spans="1:39" x14ac:dyDescent="0.2">
      <c r="A9" s="12">
        <v>7</v>
      </c>
      <c r="B9" s="12">
        <v>0.82</v>
      </c>
      <c r="C9" s="12">
        <v>0.93</v>
      </c>
      <c r="D9" s="12">
        <v>0.8</v>
      </c>
      <c r="E9" s="12">
        <v>0.95</v>
      </c>
      <c r="F9" s="20">
        <v>3.7</v>
      </c>
      <c r="G9" s="20">
        <v>1.9</v>
      </c>
      <c r="H9" s="20">
        <v>2.2999999999999998</v>
      </c>
      <c r="I9" s="20">
        <v>4.5</v>
      </c>
      <c r="J9" s="12">
        <v>0.55178127140588096</v>
      </c>
      <c r="K9" s="12">
        <v>0.63454846211676297</v>
      </c>
      <c r="L9" s="12">
        <v>0.30112271811348601</v>
      </c>
      <c r="M9" s="12">
        <v>0.30714517247575501</v>
      </c>
      <c r="N9" s="12">
        <v>3.2012228254332902</v>
      </c>
      <c r="O9" s="12">
        <v>3.4014062492482902</v>
      </c>
      <c r="P9" s="12" t="b">
        <f t="shared" si="7"/>
        <v>0</v>
      </c>
      <c r="Q9" s="12" t="b">
        <f t="shared" si="2"/>
        <v>1</v>
      </c>
      <c r="R9" s="12" t="b">
        <f t="shared" si="8"/>
        <v>0</v>
      </c>
      <c r="S9" s="12" t="str">
        <f t="shared" si="0"/>
        <v>Violated</v>
      </c>
      <c r="T9" s="9">
        <v>7</v>
      </c>
      <c r="U9" s="9">
        <v>30000</v>
      </c>
      <c r="V9" s="9" t="s">
        <v>22</v>
      </c>
      <c r="W9" s="9">
        <v>36000</v>
      </c>
      <c r="X9" s="9" t="s">
        <v>22</v>
      </c>
      <c r="Y9" s="42">
        <f t="shared" si="4"/>
        <v>6000</v>
      </c>
      <c r="Z9" s="9" t="str">
        <f t="shared" si="5"/>
        <v>Non-Uniform</v>
      </c>
      <c r="AA9" s="21">
        <f t="shared" si="6"/>
        <v>20</v>
      </c>
      <c r="AB9" s="34"/>
      <c r="AC9" s="30">
        <v>17967.2</v>
      </c>
      <c r="AD9" s="30">
        <v>3790.5</v>
      </c>
      <c r="AE9" s="30">
        <v>3912.2999999999997</v>
      </c>
      <c r="AF9" s="30">
        <v>4266</v>
      </c>
      <c r="AG9" s="9">
        <v>29936</v>
      </c>
      <c r="AH9" s="7"/>
      <c r="AI9" s="30">
        <v>8998.4</v>
      </c>
      <c r="AJ9" s="30">
        <v>8998.4</v>
      </c>
      <c r="AK9" s="30">
        <v>8988.4</v>
      </c>
      <c r="AL9" s="30">
        <v>9000</v>
      </c>
      <c r="AM9" s="9">
        <v>35985.199999999997</v>
      </c>
    </row>
    <row r="10" spans="1:39" x14ac:dyDescent="0.2">
      <c r="A10" s="12">
        <v>8</v>
      </c>
      <c r="B10" s="12">
        <v>0.85</v>
      </c>
      <c r="C10" s="12">
        <v>0.86</v>
      </c>
      <c r="D10" s="12">
        <v>0.93</v>
      </c>
      <c r="E10" s="12">
        <v>0.88</v>
      </c>
      <c r="F10" s="20">
        <v>4.0999999999999996</v>
      </c>
      <c r="G10" s="20">
        <v>1.8</v>
      </c>
      <c r="H10" s="20">
        <v>1.9</v>
      </c>
      <c r="I10" s="20">
        <v>4.5</v>
      </c>
      <c r="J10" s="12">
        <v>0.56944987127170499</v>
      </c>
      <c r="K10" s="12">
        <v>0.53528287899540306</v>
      </c>
      <c r="L10" s="12">
        <v>0.25049115375383002</v>
      </c>
      <c r="M10" s="12">
        <v>0.23295677299106199</v>
      </c>
      <c r="N10" s="12">
        <v>3.2812364615948799</v>
      </c>
      <c r="O10" s="12">
        <v>3.4234219308341101</v>
      </c>
      <c r="P10" s="12" t="b">
        <f t="shared" si="7"/>
        <v>1</v>
      </c>
      <c r="Q10" s="12" t="b">
        <f t="shared" si="2"/>
        <v>0</v>
      </c>
      <c r="R10" s="12" t="b">
        <f t="shared" si="8"/>
        <v>0</v>
      </c>
      <c r="S10" s="12" t="str">
        <f t="shared" si="0"/>
        <v>Violated</v>
      </c>
      <c r="T10" s="9">
        <v>8</v>
      </c>
      <c r="U10" s="9">
        <v>62000</v>
      </c>
      <c r="V10" s="9" t="s">
        <v>22</v>
      </c>
      <c r="W10" s="9">
        <v>72000</v>
      </c>
      <c r="X10" s="9" t="s">
        <v>22</v>
      </c>
      <c r="Y10" s="42">
        <f t="shared" si="4"/>
        <v>10000</v>
      </c>
      <c r="Z10" s="9" t="str">
        <f t="shared" si="5"/>
        <v>Non-Uniform</v>
      </c>
      <c r="AA10" s="21">
        <f t="shared" si="6"/>
        <v>16.129032258064516</v>
      </c>
      <c r="AB10" s="34"/>
      <c r="AC10" s="30">
        <v>36239.899999999994</v>
      </c>
      <c r="AD10" s="30">
        <v>7804.8</v>
      </c>
      <c r="AE10" s="30">
        <v>8076.9</v>
      </c>
      <c r="AF10" s="30">
        <v>9706.5</v>
      </c>
      <c r="AG10" s="9">
        <v>61828.1</v>
      </c>
      <c r="AH10" s="7"/>
      <c r="AI10" s="30">
        <v>17867.8</v>
      </c>
      <c r="AJ10" s="30">
        <v>17953.2</v>
      </c>
      <c r="AK10" s="30">
        <v>17993</v>
      </c>
      <c r="AL10" s="30">
        <v>17991</v>
      </c>
      <c r="AM10" s="9">
        <v>71805</v>
      </c>
    </row>
    <row r="11" spans="1:39" x14ac:dyDescent="0.2">
      <c r="A11" s="12">
        <v>9</v>
      </c>
      <c r="B11" s="12">
        <v>0.87</v>
      </c>
      <c r="C11" s="12">
        <v>0.8</v>
      </c>
      <c r="D11" s="12">
        <v>0.88</v>
      </c>
      <c r="E11" s="12">
        <v>0.98</v>
      </c>
      <c r="F11" s="20">
        <v>5</v>
      </c>
      <c r="G11" s="20">
        <v>3.5</v>
      </c>
      <c r="H11" s="20">
        <v>2.2999999999999998</v>
      </c>
      <c r="I11" s="20">
        <v>4.4000000000000004</v>
      </c>
      <c r="J11" s="12">
        <v>0.62362528340565904</v>
      </c>
      <c r="K11" s="12">
        <f>J11*0.88</f>
        <v>0.54879024939697996</v>
      </c>
      <c r="L11" s="12">
        <v>0.223185387175558</v>
      </c>
      <c r="M11" s="12">
        <v>0.234344656534336</v>
      </c>
      <c r="N11" s="12">
        <v>3.3182488760880098</v>
      </c>
      <c r="O11" s="12">
        <v>3.1855189210444901</v>
      </c>
      <c r="P11" s="12" t="b">
        <f t="shared" si="7"/>
        <v>1</v>
      </c>
      <c r="Q11" s="12" t="b">
        <f t="shared" si="2"/>
        <v>1</v>
      </c>
      <c r="R11" s="12" t="b">
        <f t="shared" si="8"/>
        <v>1</v>
      </c>
      <c r="S11" s="12" t="str">
        <f t="shared" si="0"/>
        <v>Satisfied</v>
      </c>
      <c r="T11" s="9">
        <v>9</v>
      </c>
      <c r="U11" s="9">
        <v>962000</v>
      </c>
      <c r="V11" s="9" t="s">
        <v>23</v>
      </c>
      <c r="W11" s="9">
        <v>1890000</v>
      </c>
      <c r="X11" s="9" t="s">
        <v>23</v>
      </c>
      <c r="Y11" s="42">
        <f t="shared" si="4"/>
        <v>928000</v>
      </c>
      <c r="Z11" s="9" t="str">
        <f t="shared" si="5"/>
        <v>Non-Uniform</v>
      </c>
      <c r="AA11" s="21">
        <f t="shared" si="6"/>
        <v>96.465696465696467</v>
      </c>
      <c r="AB11" s="34"/>
      <c r="AC11" s="30">
        <v>831355</v>
      </c>
      <c r="AD11" s="30">
        <v>35420</v>
      </c>
      <c r="AE11" s="30">
        <v>36880.5</v>
      </c>
      <c r="AF11" s="30">
        <v>55220.000000000007</v>
      </c>
      <c r="AG11" s="9">
        <v>958875.5</v>
      </c>
      <c r="AH11" s="7"/>
      <c r="AI11" s="30">
        <v>472510</v>
      </c>
      <c r="AJ11" s="30">
        <v>469672</v>
      </c>
      <c r="AK11" s="30">
        <v>471654.1</v>
      </c>
      <c r="AL11" s="30">
        <v>469862.80000000005</v>
      </c>
      <c r="AM11" s="9">
        <v>1883698.9000000001</v>
      </c>
    </row>
    <row r="12" spans="1:39" x14ac:dyDescent="0.2">
      <c r="A12" s="12">
        <v>10</v>
      </c>
      <c r="B12" s="12">
        <v>0.84</v>
      </c>
      <c r="C12" s="12">
        <v>0.84</v>
      </c>
      <c r="D12" s="12">
        <v>0.87</v>
      </c>
      <c r="E12" s="12">
        <v>0.94</v>
      </c>
      <c r="F12" s="20">
        <v>4.9000000000000004</v>
      </c>
      <c r="G12" s="20">
        <v>2.1</v>
      </c>
      <c r="H12" s="20">
        <v>5</v>
      </c>
      <c r="I12" s="20">
        <v>4.3</v>
      </c>
      <c r="J12" s="12">
        <v>0.56727341573857204</v>
      </c>
      <c r="K12" s="12">
        <f>J12*1.036</f>
        <v>0.58769525870516071</v>
      </c>
      <c r="L12" s="12">
        <v>0.26805207918829899</v>
      </c>
      <c r="M12" s="12">
        <v>0.289496245523363</v>
      </c>
      <c r="N12" s="12">
        <v>3.2337556903111899</v>
      </c>
      <c r="O12" s="12">
        <f>N12*0.9233</f>
        <v>2.9857266288643216</v>
      </c>
      <c r="P12" s="12" t="b">
        <f t="shared" si="7"/>
        <v>0</v>
      </c>
      <c r="Q12" s="12" t="b">
        <f t="shared" si="2"/>
        <v>1</v>
      </c>
      <c r="R12" s="12" t="b">
        <f t="shared" si="8"/>
        <v>1</v>
      </c>
      <c r="S12" s="12" t="str">
        <f t="shared" si="0"/>
        <v>Violated</v>
      </c>
      <c r="T12" s="9">
        <v>10</v>
      </c>
      <c r="U12" s="9">
        <v>1052000</v>
      </c>
      <c r="V12" s="9" t="s">
        <v>22</v>
      </c>
      <c r="W12" s="9">
        <v>1312000</v>
      </c>
      <c r="X12" s="9" t="s">
        <v>22</v>
      </c>
      <c r="Y12" s="42">
        <f t="shared" si="4"/>
        <v>260000</v>
      </c>
      <c r="Z12" s="9" t="str">
        <f t="shared" si="5"/>
        <v>Non-Uniform</v>
      </c>
      <c r="AA12" s="21">
        <f t="shared" si="6"/>
        <v>24.714828897338403</v>
      </c>
      <c r="AB12" s="34"/>
      <c r="AC12" s="30">
        <v>556301.9</v>
      </c>
      <c r="AD12" s="30">
        <v>126665.70000000001</v>
      </c>
      <c r="AE12" s="30">
        <v>130390</v>
      </c>
      <c r="AF12" s="30">
        <v>234427.4</v>
      </c>
      <c r="AG12" s="9">
        <v>1047785.0000000001</v>
      </c>
      <c r="AH12" s="7"/>
      <c r="AI12" s="30">
        <v>327878.60000000003</v>
      </c>
      <c r="AJ12" s="30">
        <v>327873</v>
      </c>
      <c r="AK12" s="30">
        <v>328010</v>
      </c>
      <c r="AL12" s="30">
        <v>327221.39999999997</v>
      </c>
      <c r="AM12" s="9">
        <v>1310983</v>
      </c>
    </row>
    <row r="13" spans="1:39" x14ac:dyDescent="0.2">
      <c r="A13" s="12">
        <v>11</v>
      </c>
      <c r="B13" s="12">
        <v>0.83</v>
      </c>
      <c r="C13" s="12">
        <v>0.92</v>
      </c>
      <c r="D13" s="12">
        <v>0.86</v>
      </c>
      <c r="E13" s="12">
        <v>0.87</v>
      </c>
      <c r="F13" s="20">
        <v>1.1000000000000001</v>
      </c>
      <c r="G13" s="20">
        <v>2.1</v>
      </c>
      <c r="H13" s="20">
        <v>4.8</v>
      </c>
      <c r="I13" s="20">
        <v>1.5</v>
      </c>
      <c r="J13" s="12">
        <v>0.53308457393859299</v>
      </c>
      <c r="K13" s="12">
        <f>J13*0.87</f>
        <v>0.46378357932657588</v>
      </c>
      <c r="L13" s="12">
        <v>0.27918599707176001</v>
      </c>
      <c r="M13" s="12">
        <v>0.31827203666180598</v>
      </c>
      <c r="N13" s="12">
        <v>3.21051148211891</v>
      </c>
      <c r="O13" s="12">
        <v>3.3340319414036599</v>
      </c>
      <c r="P13" s="12" t="b">
        <f t="shared" si="7"/>
        <v>1</v>
      </c>
      <c r="Q13" s="12" t="b">
        <f t="shared" si="2"/>
        <v>1</v>
      </c>
      <c r="R13" s="12" t="b">
        <f t="shared" si="8"/>
        <v>0</v>
      </c>
      <c r="S13" s="12" t="str">
        <f t="shared" si="0"/>
        <v>Violated</v>
      </c>
      <c r="T13" s="9">
        <v>11</v>
      </c>
      <c r="U13" s="9">
        <v>50000</v>
      </c>
      <c r="V13" s="9" t="s">
        <v>22</v>
      </c>
      <c r="W13" s="9">
        <v>48000</v>
      </c>
      <c r="X13" s="9" t="s">
        <v>22</v>
      </c>
      <c r="Y13" s="42">
        <f t="shared" si="4"/>
        <v>-2000</v>
      </c>
      <c r="Z13" s="9" t="str">
        <f t="shared" si="5"/>
        <v>Uniform</v>
      </c>
      <c r="AA13" s="21">
        <f t="shared" si="6"/>
        <v>-4</v>
      </c>
      <c r="AB13" s="34"/>
      <c r="AC13" s="30">
        <v>28131.4</v>
      </c>
      <c r="AD13" s="30">
        <v>6892.2000000000007</v>
      </c>
      <c r="AE13" s="30">
        <v>7099.2</v>
      </c>
      <c r="AF13" s="30">
        <v>7782</v>
      </c>
      <c r="AG13" s="9">
        <v>49904.800000000003</v>
      </c>
      <c r="AH13" s="7"/>
      <c r="AI13" s="30">
        <v>11987.800000000001</v>
      </c>
      <c r="AJ13" s="30">
        <v>11999.4</v>
      </c>
      <c r="AK13" s="30">
        <v>11990.4</v>
      </c>
      <c r="AL13" s="30">
        <v>11991</v>
      </c>
      <c r="AM13" s="9">
        <v>47968.6</v>
      </c>
    </row>
    <row r="14" spans="1:39" x14ac:dyDescent="0.2">
      <c r="A14" s="12">
        <v>12</v>
      </c>
      <c r="B14" s="12">
        <v>0.98</v>
      </c>
      <c r="C14" s="12">
        <v>0.93</v>
      </c>
      <c r="D14" s="12">
        <v>0.88</v>
      </c>
      <c r="E14" s="12">
        <v>0.82</v>
      </c>
      <c r="F14" s="20">
        <v>3.8</v>
      </c>
      <c r="G14" s="20">
        <v>4.5</v>
      </c>
      <c r="H14" s="20">
        <v>2.5</v>
      </c>
      <c r="I14" s="20">
        <v>4.2</v>
      </c>
      <c r="J14" s="12">
        <v>0.71235068900604803</v>
      </c>
      <c r="K14" s="12">
        <v>0.67673315455574601</v>
      </c>
      <c r="L14" s="12">
        <v>3.4537769163388701E-2</v>
      </c>
      <c r="M14" s="12">
        <v>3.7300790696459897E-2</v>
      </c>
      <c r="N14" s="12">
        <v>3.5933365098165599</v>
      </c>
      <c r="O14" s="12">
        <f>N14*0.88</f>
        <v>3.162136128638573</v>
      </c>
      <c r="P14" s="12" t="b">
        <f t="shared" si="7"/>
        <v>1</v>
      </c>
      <c r="Q14" s="12" t="b">
        <f t="shared" si="2"/>
        <v>1</v>
      </c>
      <c r="R14" s="12" t="b">
        <f t="shared" si="8"/>
        <v>1</v>
      </c>
      <c r="S14" s="12" t="str">
        <f t="shared" si="0"/>
        <v>Satisfied</v>
      </c>
      <c r="T14" s="9">
        <v>12</v>
      </c>
      <c r="U14" s="9">
        <v>1472000</v>
      </c>
      <c r="V14" s="9" t="s">
        <v>23</v>
      </c>
      <c r="W14" s="9">
        <v>2878000</v>
      </c>
      <c r="X14" s="9" t="s">
        <v>23</v>
      </c>
      <c r="Y14" s="42">
        <f t="shared" si="4"/>
        <v>1406000</v>
      </c>
      <c r="Z14" s="9" t="str">
        <f t="shared" si="5"/>
        <v>Non-Uniform</v>
      </c>
      <c r="AA14" s="21">
        <f t="shared" si="6"/>
        <v>95.516304347826093</v>
      </c>
      <c r="AB14" s="34"/>
      <c r="AC14" s="30">
        <v>1293668.2</v>
      </c>
      <c r="AD14" s="30">
        <v>40383</v>
      </c>
      <c r="AE14" s="30">
        <v>41937.5</v>
      </c>
      <c r="AF14" s="30">
        <v>90652.800000000003</v>
      </c>
      <c r="AG14" s="9">
        <v>1466641.5</v>
      </c>
      <c r="AH14" s="7"/>
      <c r="AI14" s="30">
        <v>716341.79999999993</v>
      </c>
      <c r="AJ14" s="30">
        <v>718789.5</v>
      </c>
      <c r="AK14" s="30">
        <v>719505</v>
      </c>
      <c r="AL14" s="30">
        <v>719220.6</v>
      </c>
      <c r="AM14" s="9">
        <v>2873856.9</v>
      </c>
    </row>
    <row r="15" spans="1:39" x14ac:dyDescent="0.2">
      <c r="A15" s="12">
        <v>13</v>
      </c>
      <c r="B15" s="12">
        <v>0.96</v>
      </c>
      <c r="C15" s="12">
        <v>0.91</v>
      </c>
      <c r="D15" s="12">
        <v>0.85</v>
      </c>
      <c r="E15" s="12">
        <v>0.83</v>
      </c>
      <c r="F15" s="20">
        <v>4.2</v>
      </c>
      <c r="G15" s="20">
        <v>1.1000000000000001</v>
      </c>
      <c r="H15" s="20">
        <v>4.5999999999999996</v>
      </c>
      <c r="I15" s="20">
        <v>2.7</v>
      </c>
      <c r="J15" s="12">
        <v>0.67271458259526795</v>
      </c>
      <c r="K15" s="12">
        <f>J15*1.085</f>
        <v>0.72989532211586572</v>
      </c>
      <c r="L15" s="12">
        <v>6.8029774274802904E-2</v>
      </c>
      <c r="M15" s="12">
        <v>6.1907094590070599E-2</v>
      </c>
      <c r="N15" s="12">
        <v>3.5050134214031901</v>
      </c>
      <c r="O15" s="12">
        <v>3.1651207926286999</v>
      </c>
      <c r="P15" s="12" t="b">
        <f t="shared" si="7"/>
        <v>0</v>
      </c>
      <c r="Q15" s="12" t="b">
        <f t="shared" si="2"/>
        <v>0</v>
      </c>
      <c r="R15" s="12" t="b">
        <f t="shared" si="8"/>
        <v>1</v>
      </c>
      <c r="S15" s="12" t="str">
        <f t="shared" si="0"/>
        <v>Violated</v>
      </c>
      <c r="T15" s="9">
        <v>13</v>
      </c>
      <c r="U15" s="9">
        <v>142000</v>
      </c>
      <c r="V15" s="9" t="s">
        <v>22</v>
      </c>
      <c r="W15" s="9">
        <v>98000</v>
      </c>
      <c r="X15" s="9" t="s">
        <v>22</v>
      </c>
      <c r="Y15" s="42">
        <f t="shared" si="4"/>
        <v>-44000</v>
      </c>
      <c r="Z15" s="9" t="str">
        <f t="shared" si="5"/>
        <v>Uniform</v>
      </c>
      <c r="AA15" s="21">
        <f t="shared" si="6"/>
        <v>-30.985915492957748</v>
      </c>
      <c r="AB15" s="34"/>
      <c r="AC15" s="30">
        <v>85982.400000000009</v>
      </c>
      <c r="AD15" s="30">
        <v>13503.6</v>
      </c>
      <c r="AE15" s="30">
        <v>13855.199999999999</v>
      </c>
      <c r="AF15" s="30">
        <v>28215.000000000004</v>
      </c>
      <c r="AG15" s="9">
        <v>141556.20000000001</v>
      </c>
      <c r="AH15" s="7"/>
      <c r="AI15" s="30">
        <v>24498.600000000002</v>
      </c>
      <c r="AJ15" s="30">
        <v>24472.800000000003</v>
      </c>
      <c r="AK15" s="30">
        <v>24352.399999999998</v>
      </c>
      <c r="AL15" s="30">
        <v>24480.9</v>
      </c>
      <c r="AM15" s="9">
        <v>97804.700000000012</v>
      </c>
    </row>
    <row r="16" spans="1:39" x14ac:dyDescent="0.2">
      <c r="A16" s="12">
        <v>14</v>
      </c>
      <c r="B16" s="12">
        <v>0.83</v>
      </c>
      <c r="C16" s="12">
        <v>0.86</v>
      </c>
      <c r="D16" s="12">
        <v>0.84</v>
      </c>
      <c r="E16" s="12">
        <v>0.92</v>
      </c>
      <c r="F16" s="20">
        <v>4.2</v>
      </c>
      <c r="G16" s="20">
        <v>1.2</v>
      </c>
      <c r="H16" s="20">
        <v>1.6</v>
      </c>
      <c r="I16" s="20">
        <v>3.6</v>
      </c>
      <c r="J16" s="12">
        <v>0.538603116094303</v>
      </c>
      <c r="K16" s="12">
        <v>0.646323739313163</v>
      </c>
      <c r="L16" s="12">
        <v>0.280316300886785</v>
      </c>
      <c r="M16" s="12">
        <v>0.34759221309961302</v>
      </c>
      <c r="N16" s="12">
        <v>3.18426547164042</v>
      </c>
      <c r="O16" s="12">
        <v>3.32677069144626</v>
      </c>
      <c r="P16" s="12" t="b">
        <f t="shared" si="7"/>
        <v>0</v>
      </c>
      <c r="Q16" s="12" t="b">
        <f t="shared" si="2"/>
        <v>1</v>
      </c>
      <c r="R16" s="12" t="b">
        <f t="shared" si="8"/>
        <v>0</v>
      </c>
      <c r="S16" s="12" t="str">
        <f t="shared" si="0"/>
        <v>Violated</v>
      </c>
      <c r="T16" s="9">
        <v>14</v>
      </c>
      <c r="U16" s="9">
        <v>24000</v>
      </c>
      <c r="V16" s="9" t="s">
        <v>22</v>
      </c>
      <c r="W16" s="9">
        <v>36000</v>
      </c>
      <c r="X16" s="9" t="s">
        <v>22</v>
      </c>
      <c r="Y16" s="42">
        <f t="shared" si="4"/>
        <v>12000</v>
      </c>
      <c r="Z16" s="9" t="str">
        <f>IF(W16=U16,"equal",IF(W16&lt;U16,"Uniform","Non-Uniform"))</f>
        <v>Non-Uniform</v>
      </c>
      <c r="AA16" s="21">
        <f>(Y16*100)/U16</f>
        <v>50</v>
      </c>
      <c r="AB16" s="34"/>
      <c r="AC16" s="30">
        <v>13440</v>
      </c>
      <c r="AD16" s="30">
        <v>3064.7999999999997</v>
      </c>
      <c r="AE16" s="30">
        <v>3163.2000000000003</v>
      </c>
      <c r="AF16" s="30">
        <v>4284</v>
      </c>
      <c r="AG16" s="9">
        <v>23952</v>
      </c>
      <c r="AH16" s="7"/>
      <c r="AI16" s="30">
        <v>9004.8000000000011</v>
      </c>
      <c r="AJ16" s="30">
        <v>8988</v>
      </c>
      <c r="AK16" s="30">
        <v>8988.8000000000011</v>
      </c>
      <c r="AL16" s="30">
        <v>8949.6</v>
      </c>
      <c r="AM16" s="9">
        <v>35931.200000000004</v>
      </c>
    </row>
    <row r="17" spans="1:39" x14ac:dyDescent="0.2">
      <c r="A17" s="12">
        <v>15</v>
      </c>
      <c r="B17" s="12">
        <v>0.93</v>
      </c>
      <c r="C17" s="12">
        <v>0.99</v>
      </c>
      <c r="D17" s="12">
        <v>0.97</v>
      </c>
      <c r="E17" s="12">
        <v>0.8</v>
      </c>
      <c r="F17" s="20">
        <v>1.9</v>
      </c>
      <c r="G17" s="20">
        <v>5</v>
      </c>
      <c r="H17" s="20">
        <v>4.5</v>
      </c>
      <c r="I17" s="20">
        <v>3</v>
      </c>
      <c r="J17" s="12">
        <v>0.67795418373365002</v>
      </c>
      <c r="K17" s="12">
        <v>0.65083601638430399</v>
      </c>
      <c r="L17" s="12">
        <v>0.121028809528339</v>
      </c>
      <c r="M17" s="12">
        <v>0.12882276000000001</v>
      </c>
      <c r="N17" s="12">
        <v>3.5702104572069602</v>
      </c>
      <c r="O17" s="12">
        <v>3.4631041434907499</v>
      </c>
      <c r="P17" s="12" t="b">
        <v>1</v>
      </c>
      <c r="Q17" s="12" t="b">
        <v>1</v>
      </c>
      <c r="R17" s="12" t="b">
        <v>1</v>
      </c>
      <c r="S17" s="12" t="str">
        <f t="shared" si="0"/>
        <v>Satisfied</v>
      </c>
      <c r="T17" s="9">
        <v>15</v>
      </c>
      <c r="U17" s="9">
        <v>524000</v>
      </c>
      <c r="V17" s="9" t="s">
        <v>23</v>
      </c>
      <c r="W17" s="9">
        <v>386000</v>
      </c>
      <c r="X17" s="9" t="s">
        <v>23</v>
      </c>
      <c r="Y17" s="42">
        <f t="shared" si="4"/>
        <v>-138000</v>
      </c>
      <c r="Z17" s="9" t="str">
        <f>IF(W17=U17,"equal",IF(W17&lt;U17,"Uniform","Non-Uniform"))</f>
        <v>Uniform</v>
      </c>
      <c r="AA17" s="21">
        <f>(Y17*100)/U17</f>
        <v>-26.335877862595421</v>
      </c>
      <c r="AB17" s="34"/>
      <c r="AC17" s="30">
        <v>401734.1</v>
      </c>
      <c r="AD17" s="30">
        <v>27285</v>
      </c>
      <c r="AE17" s="30">
        <v>28413</v>
      </c>
      <c r="AF17" s="30">
        <v>64506</v>
      </c>
      <c r="AG17" s="9">
        <v>521938.1</v>
      </c>
      <c r="AH17" s="7"/>
      <c r="AI17" s="30">
        <v>96445.9</v>
      </c>
      <c r="AJ17" s="30">
        <v>96510</v>
      </c>
      <c r="AK17" s="30">
        <v>96412.5</v>
      </c>
      <c r="AL17" s="30">
        <v>96120</v>
      </c>
      <c r="AM17" s="9">
        <v>385488.4</v>
      </c>
    </row>
    <row r="18" spans="1:39" x14ac:dyDescent="0.2">
      <c r="A18" s="12">
        <v>16</v>
      </c>
      <c r="B18" s="12">
        <v>0.9</v>
      </c>
      <c r="C18" s="12">
        <v>0.8</v>
      </c>
      <c r="D18" s="12">
        <v>0.91</v>
      </c>
      <c r="E18" s="12">
        <v>0.87</v>
      </c>
      <c r="F18" s="20">
        <v>3.1</v>
      </c>
      <c r="G18" s="20">
        <v>3.7</v>
      </c>
      <c r="H18" s="20">
        <v>4.9000000000000004</v>
      </c>
      <c r="I18" s="20">
        <v>2.9</v>
      </c>
      <c r="J18" s="12">
        <v>0.60323076868360603</v>
      </c>
      <c r="K18" s="12">
        <v>0.57306923024942602</v>
      </c>
      <c r="L18" s="12">
        <v>0.16702564096484501</v>
      </c>
      <c r="M18" s="12">
        <v>0.17955256403720837</v>
      </c>
      <c r="N18" s="12">
        <v>3.3406648708672</v>
      </c>
      <c r="O18" s="12">
        <v>3.20703827603251</v>
      </c>
      <c r="P18" s="12" t="b">
        <v>1</v>
      </c>
      <c r="Q18" s="12" t="b">
        <v>1</v>
      </c>
      <c r="R18" s="12" t="b">
        <v>1</v>
      </c>
      <c r="S18" s="12" t="str">
        <f t="shared" si="0"/>
        <v>Satisfied</v>
      </c>
      <c r="T18" s="9">
        <v>16</v>
      </c>
      <c r="U18" s="9">
        <v>646000</v>
      </c>
      <c r="V18" s="9" t="s">
        <v>23</v>
      </c>
      <c r="W18" s="9">
        <v>894000</v>
      </c>
      <c r="X18" s="9" t="s">
        <v>23</v>
      </c>
      <c r="Y18" s="42">
        <f t="shared" si="4"/>
        <v>248000</v>
      </c>
      <c r="Z18" s="9" t="str">
        <f t="shared" si="5"/>
        <v>Non-Uniform</v>
      </c>
      <c r="AA18" s="21">
        <f t="shared" si="6"/>
        <v>38.390092879256969</v>
      </c>
      <c r="AB18" s="34"/>
      <c r="AC18" s="30">
        <v>392187.2</v>
      </c>
      <c r="AD18" s="30">
        <v>63854.600000000006</v>
      </c>
      <c r="AE18" s="30">
        <v>65993.200000000012</v>
      </c>
      <c r="AF18" s="30">
        <v>121620.2</v>
      </c>
      <c r="AG18" s="9">
        <v>643655.20000000007</v>
      </c>
      <c r="AH18" s="7"/>
      <c r="AI18" s="30">
        <v>223103.9</v>
      </c>
      <c r="AJ18" s="30">
        <v>223283.90000000002</v>
      </c>
      <c r="AK18" s="30">
        <v>223420.40000000002</v>
      </c>
      <c r="AL18" s="30">
        <v>222969.4</v>
      </c>
      <c r="AM18" s="9">
        <v>892777.60000000009</v>
      </c>
    </row>
    <row r="19" spans="1:39" x14ac:dyDescent="0.2">
      <c r="A19" s="12">
        <v>17</v>
      </c>
      <c r="B19" s="12">
        <v>0.83</v>
      </c>
      <c r="C19" s="12">
        <v>0.96</v>
      </c>
      <c r="D19" s="12">
        <v>0.88</v>
      </c>
      <c r="E19" s="12">
        <v>0.83</v>
      </c>
      <c r="F19" s="20">
        <v>2.7</v>
      </c>
      <c r="G19" s="20">
        <v>5</v>
      </c>
      <c r="H19" s="20">
        <v>4.3</v>
      </c>
      <c r="I19" s="20">
        <v>3.8</v>
      </c>
      <c r="J19" s="12">
        <v>0.52562343521780297</v>
      </c>
      <c r="K19" s="12">
        <v>0.50459849780909105</v>
      </c>
      <c r="L19" s="12">
        <v>0.27765781203256201</v>
      </c>
      <c r="M19" s="12">
        <v>0.30542359323581825</v>
      </c>
      <c r="N19" s="12">
        <v>3.2262695910169299</v>
      </c>
      <c r="O19" s="12">
        <v>3.0649561114660799</v>
      </c>
      <c r="P19" s="12" t="b">
        <v>1</v>
      </c>
      <c r="Q19" s="12" t="b">
        <v>1</v>
      </c>
      <c r="R19" s="12" t="b">
        <v>1</v>
      </c>
      <c r="S19" s="12" t="str">
        <f t="shared" si="0"/>
        <v>Satisfied</v>
      </c>
      <c r="T19" s="9">
        <v>17</v>
      </c>
      <c r="U19" s="9">
        <v>590000</v>
      </c>
      <c r="V19" s="9" t="s">
        <v>23</v>
      </c>
      <c r="W19" s="9">
        <v>696000</v>
      </c>
      <c r="X19" s="9" t="s">
        <v>23</v>
      </c>
      <c r="Y19" s="42">
        <f t="shared" si="4"/>
        <v>106000</v>
      </c>
      <c r="Z19" s="9" t="str">
        <f t="shared" si="5"/>
        <v>Non-Uniform</v>
      </c>
      <c r="AA19" s="21">
        <f t="shared" si="6"/>
        <v>17.966101694915253</v>
      </c>
      <c r="AB19" s="34"/>
      <c r="AC19" s="30">
        <v>310848.30000000005</v>
      </c>
      <c r="AD19" s="30">
        <v>64915</v>
      </c>
      <c r="AE19" s="30">
        <v>67049.899999999994</v>
      </c>
      <c r="AF19" s="30">
        <v>144894</v>
      </c>
      <c r="AG19" s="9">
        <v>587707.20000000007</v>
      </c>
      <c r="AH19" s="7"/>
      <c r="AI19" s="30">
        <v>173831.40000000002</v>
      </c>
      <c r="AJ19" s="30">
        <v>174010</v>
      </c>
      <c r="AK19" s="30">
        <v>173591</v>
      </c>
      <c r="AL19" s="30">
        <v>173242</v>
      </c>
      <c r="AM19" s="9">
        <v>694674.4</v>
      </c>
    </row>
    <row r="20" spans="1:39" x14ac:dyDescent="0.2">
      <c r="A20" s="12">
        <v>18</v>
      </c>
      <c r="B20" s="12">
        <v>0.89</v>
      </c>
      <c r="C20" s="12">
        <v>0.93</v>
      </c>
      <c r="D20" s="12">
        <v>0.9</v>
      </c>
      <c r="E20" s="12">
        <v>0.98</v>
      </c>
      <c r="F20" s="20">
        <v>4.5999999999999996</v>
      </c>
      <c r="G20" s="20">
        <v>2.2999999999999998</v>
      </c>
      <c r="H20" s="20">
        <v>3.6</v>
      </c>
      <c r="I20" s="20">
        <v>4.4000000000000004</v>
      </c>
      <c r="J20" s="12">
        <v>0.71006179286095195</v>
      </c>
      <c r="K20" s="12">
        <v>0.64615623150346602</v>
      </c>
      <c r="L20" s="12">
        <v>0.197760446308657</v>
      </c>
      <c r="M20" s="12">
        <v>0.22346930432878237</v>
      </c>
      <c r="N20" s="12">
        <v>3.50192521063344</v>
      </c>
      <c r="O20" s="12">
        <v>2.976636429038424</v>
      </c>
      <c r="P20" s="12" t="b">
        <v>1</v>
      </c>
      <c r="Q20" s="12" t="b">
        <v>1</v>
      </c>
      <c r="R20" s="12" t="b">
        <v>1</v>
      </c>
      <c r="S20" s="12" t="str">
        <f t="shared" si="0"/>
        <v>Satisfied</v>
      </c>
      <c r="T20" s="9">
        <v>18</v>
      </c>
      <c r="U20" s="9">
        <v>162000</v>
      </c>
      <c r="V20" s="9" t="s">
        <v>23</v>
      </c>
      <c r="W20" s="9">
        <v>294000</v>
      </c>
      <c r="X20" s="9" t="s">
        <v>23</v>
      </c>
      <c r="Y20" s="42">
        <f t="shared" si="4"/>
        <v>132000</v>
      </c>
      <c r="Z20" s="9" t="str">
        <f t="shared" si="5"/>
        <v>Non-Uniform</v>
      </c>
      <c r="AA20" s="21">
        <f t="shared" si="6"/>
        <v>81.481481481481481</v>
      </c>
      <c r="AB20" s="34"/>
      <c r="AC20" s="30">
        <v>130584.79999999999</v>
      </c>
      <c r="AD20" s="30">
        <v>7974.0999999999995</v>
      </c>
      <c r="AE20" s="30">
        <v>8247.6</v>
      </c>
      <c r="AF20" s="30">
        <v>14550.800000000001</v>
      </c>
      <c r="AG20" s="9">
        <v>161357.29999999999</v>
      </c>
      <c r="AH20" s="7"/>
      <c r="AI20" s="30">
        <v>73038.799999999988</v>
      </c>
      <c r="AJ20" s="30">
        <v>73372.299999999988</v>
      </c>
      <c r="AK20" s="30">
        <v>73036.800000000003</v>
      </c>
      <c r="AL20" s="30">
        <v>73097.200000000012</v>
      </c>
      <c r="AM20" s="9">
        <v>292545.09999999998</v>
      </c>
    </row>
    <row r="21" spans="1:39" x14ac:dyDescent="0.2">
      <c r="A21" s="12">
        <v>19</v>
      </c>
      <c r="B21" s="12">
        <v>0.98</v>
      </c>
      <c r="C21" s="12">
        <v>0.9</v>
      </c>
      <c r="D21" s="12">
        <v>0.89</v>
      </c>
      <c r="E21" s="12">
        <v>0.84</v>
      </c>
      <c r="F21" s="20">
        <v>1.6</v>
      </c>
      <c r="G21" s="20">
        <v>2.5</v>
      </c>
      <c r="H21" s="20">
        <v>4.3</v>
      </c>
      <c r="I21" s="20">
        <v>1.9</v>
      </c>
      <c r="J21" s="12">
        <v>0.72195433151503197</v>
      </c>
      <c r="K21" s="12">
        <v>0.63531981173322816</v>
      </c>
      <c r="L21" s="12">
        <v>3.4733761867653701E-2</v>
      </c>
      <c r="M21" s="12">
        <v>4.6890578521332597E-2</v>
      </c>
      <c r="N21" s="12">
        <v>3.59369642280764</v>
      </c>
      <c r="O21" s="12">
        <v>2.982768030930341</v>
      </c>
      <c r="P21" s="12" t="b">
        <v>1</v>
      </c>
      <c r="Q21" s="12" t="b">
        <v>1</v>
      </c>
      <c r="R21" s="12" t="b">
        <v>1</v>
      </c>
      <c r="S21" s="12" t="str">
        <f t="shared" si="0"/>
        <v>Satisfied</v>
      </c>
      <c r="T21" s="9">
        <v>19</v>
      </c>
      <c r="U21" s="9">
        <v>60000</v>
      </c>
      <c r="V21" s="9" t="s">
        <v>23</v>
      </c>
      <c r="W21" s="9">
        <v>100000</v>
      </c>
      <c r="X21" s="9" t="s">
        <v>23</v>
      </c>
      <c r="Y21" s="42">
        <f t="shared" si="4"/>
        <v>40000</v>
      </c>
      <c r="Z21" s="9" t="str">
        <f t="shared" si="5"/>
        <v>Non-Uniform</v>
      </c>
      <c r="AA21" s="21">
        <f t="shared" si="6"/>
        <v>66.666666666666671</v>
      </c>
      <c r="AB21" s="34"/>
      <c r="AC21" s="30">
        <v>43745.600000000006</v>
      </c>
      <c r="AD21" s="30">
        <v>3982.5</v>
      </c>
      <c r="AE21" s="30">
        <v>4102.2</v>
      </c>
      <c r="AF21" s="30">
        <v>8035.0999999999995</v>
      </c>
      <c r="AG21" s="9">
        <v>59865.4</v>
      </c>
      <c r="AH21" s="7"/>
      <c r="AI21" s="30">
        <v>24963.200000000001</v>
      </c>
      <c r="AJ21" s="30">
        <v>25005</v>
      </c>
      <c r="AK21" s="30">
        <v>24948.6</v>
      </c>
      <c r="AL21" s="30">
        <v>24988.799999999999</v>
      </c>
      <c r="AM21" s="9">
        <v>99905.599999999991</v>
      </c>
    </row>
    <row r="22" spans="1:39" x14ac:dyDescent="0.2">
      <c r="A22" s="12">
        <v>20</v>
      </c>
      <c r="B22" s="12">
        <v>0.85</v>
      </c>
      <c r="C22" s="12">
        <v>0.97</v>
      </c>
      <c r="D22" s="12">
        <v>0.93</v>
      </c>
      <c r="E22" s="12">
        <v>0.88</v>
      </c>
      <c r="F22" s="20">
        <v>1.5</v>
      </c>
      <c r="G22" s="20">
        <v>4.7</v>
      </c>
      <c r="H22" s="20">
        <v>3.6</v>
      </c>
      <c r="I22" s="20">
        <v>4.4000000000000004</v>
      </c>
      <c r="J22" s="12">
        <v>0.60377605004344304</v>
      </c>
      <c r="K22" s="12">
        <v>0.68226693654908999</v>
      </c>
      <c r="L22" s="12">
        <v>0.25654871471354801</v>
      </c>
      <c r="M22" s="12">
        <v>0.28220358618490299</v>
      </c>
      <c r="N22" s="12">
        <v>3.3675107735833598</v>
      </c>
      <c r="O22" s="12">
        <v>3.1960024749999998</v>
      </c>
      <c r="P22" s="12" t="b">
        <f>IF(J22*1000&gt;K22*1000,TRUE,FALSE)</f>
        <v>0</v>
      </c>
      <c r="Q22" s="12" t="b">
        <f>IF(L22*1000&lt;M22*1000,TRUE,FALSE)</f>
        <v>1</v>
      </c>
      <c r="R22" s="12" t="b">
        <f>IF(N22*1000&gt;O22*1000,TRUE,FALSE)</f>
        <v>1</v>
      </c>
      <c r="S22" s="12" t="str">
        <f t="shared" si="0"/>
        <v>Violated</v>
      </c>
      <c r="T22" s="9">
        <v>20</v>
      </c>
      <c r="U22" s="9">
        <v>36000</v>
      </c>
      <c r="V22" s="9" t="s">
        <v>22</v>
      </c>
      <c r="W22" s="9">
        <v>46000</v>
      </c>
      <c r="X22" s="9" t="s">
        <v>22</v>
      </c>
      <c r="Y22" s="42">
        <f t="shared" si="4"/>
        <v>10000</v>
      </c>
      <c r="Z22" s="9" t="str">
        <f>IF(W22=U22,"equal",IF(W22&lt;U22,"Uniform","Non-Uniform"))</f>
        <v>Non-Uniform</v>
      </c>
      <c r="AA22" s="21">
        <f t="shared" si="6"/>
        <v>27.777777777777779</v>
      </c>
      <c r="AB22" s="34"/>
      <c r="AC22" s="30">
        <v>20328</v>
      </c>
      <c r="AD22" s="30">
        <v>4234.7</v>
      </c>
      <c r="AE22" s="30">
        <v>4366.8</v>
      </c>
      <c r="AF22" s="30">
        <v>6987.2000000000007</v>
      </c>
      <c r="AG22" s="9">
        <v>35916.699999999997</v>
      </c>
      <c r="AH22" s="7"/>
      <c r="AI22" s="30">
        <v>11491.5</v>
      </c>
      <c r="AJ22" s="30">
        <v>11468</v>
      </c>
      <c r="AK22" s="30">
        <v>11433.6</v>
      </c>
      <c r="AL22" s="30">
        <v>11444.400000000001</v>
      </c>
      <c r="AM22" s="9">
        <v>45837.5</v>
      </c>
    </row>
    <row r="23" spans="1:39" x14ac:dyDescent="0.2">
      <c r="A23" s="12">
        <v>21</v>
      </c>
      <c r="B23" s="12">
        <v>0.96</v>
      </c>
      <c r="C23" s="12">
        <v>0.99</v>
      </c>
      <c r="D23" s="12">
        <v>0.84</v>
      </c>
      <c r="E23" s="12">
        <v>0.94</v>
      </c>
      <c r="F23" s="20">
        <v>2.8</v>
      </c>
      <c r="G23" s="20">
        <v>4.5</v>
      </c>
      <c r="H23" s="20">
        <v>2</v>
      </c>
      <c r="I23" s="20">
        <v>3.3</v>
      </c>
      <c r="J23" s="12">
        <v>0.79147354866459596</v>
      </c>
      <c r="K23" s="12">
        <v>0.73607040025807402</v>
      </c>
      <c r="L23" s="12">
        <v>7.2978064527691594E-2</v>
      </c>
      <c r="M23" s="12">
        <v>9.4871483885999003E-2</v>
      </c>
      <c r="N23" s="12">
        <v>3.66152640130879</v>
      </c>
      <c r="O23" s="12">
        <v>3.3819890251909999</v>
      </c>
      <c r="P23" s="12" t="b">
        <f>IF(J23*1000&gt;K23*1000,TRUE,FALSE)</f>
        <v>1</v>
      </c>
      <c r="Q23" s="12" t="b">
        <f>IF(L23*1000&lt;M23*1000,TRUE,FALSE)</f>
        <v>1</v>
      </c>
      <c r="R23" s="12" t="b">
        <f>IF(N23*1000&gt;O23*1000,TRUE,FALSE)</f>
        <v>1</v>
      </c>
      <c r="S23" s="12" t="str">
        <f t="shared" si="0"/>
        <v>Satisfied</v>
      </c>
      <c r="T23" s="9">
        <v>21</v>
      </c>
      <c r="U23" s="9">
        <v>68000</v>
      </c>
      <c r="V23" s="9" t="s">
        <v>23</v>
      </c>
      <c r="W23" s="9">
        <v>54000</v>
      </c>
      <c r="X23" s="9" t="s">
        <v>23</v>
      </c>
      <c r="Y23" s="42">
        <f t="shared" si="4"/>
        <v>-14000</v>
      </c>
      <c r="Z23" s="9" t="str">
        <f t="shared" si="5"/>
        <v>Uniform</v>
      </c>
      <c r="AA23" s="21">
        <f t="shared" si="6"/>
        <v>-20.588235294117649</v>
      </c>
      <c r="AB23" s="34"/>
      <c r="AC23" s="30">
        <v>38248</v>
      </c>
      <c r="AD23" s="30">
        <v>7578</v>
      </c>
      <c r="AE23" s="30">
        <v>7884</v>
      </c>
      <c r="AF23" s="30">
        <v>14074.5</v>
      </c>
      <c r="AG23" s="9">
        <v>67784.5</v>
      </c>
      <c r="AH23" s="7"/>
      <c r="AI23" s="30">
        <v>13462.4</v>
      </c>
      <c r="AJ23" s="30">
        <v>13495.5</v>
      </c>
      <c r="AK23" s="30">
        <v>13504</v>
      </c>
      <c r="AL23" s="30">
        <v>13460.699999999999</v>
      </c>
      <c r="AM23" s="9">
        <v>53922.6</v>
      </c>
    </row>
    <row r="24" spans="1:39" x14ac:dyDescent="0.2">
      <c r="A24" s="12">
        <v>22</v>
      </c>
      <c r="B24" s="12">
        <v>0.94</v>
      </c>
      <c r="C24" s="12">
        <v>0.89</v>
      </c>
      <c r="D24" s="12">
        <v>0.94</v>
      </c>
      <c r="E24" s="12">
        <v>0.98</v>
      </c>
      <c r="F24" s="20">
        <v>2.6</v>
      </c>
      <c r="G24" s="20">
        <v>4.5</v>
      </c>
      <c r="H24" s="20">
        <v>2.2000000000000002</v>
      </c>
      <c r="I24" s="20">
        <v>4.7</v>
      </c>
      <c r="J24" s="12">
        <v>0.79272179936634302</v>
      </c>
      <c r="K24" s="12">
        <v>0.83655728726495804</v>
      </c>
      <c r="L24" s="12">
        <v>0.110599263789341</v>
      </c>
      <c r="M24" s="12">
        <v>8.5161433117792576E-2</v>
      </c>
      <c r="N24" s="12">
        <v>3.6438513176911198</v>
      </c>
      <c r="O24" s="12">
        <v>3.46165875180656</v>
      </c>
      <c r="P24" s="12" t="b">
        <v>0</v>
      </c>
      <c r="Q24" s="12" t="b">
        <v>0</v>
      </c>
      <c r="R24" s="12" t="b">
        <v>1</v>
      </c>
      <c r="S24" s="12" t="str">
        <f t="shared" si="0"/>
        <v>Violated</v>
      </c>
      <c r="T24" s="9">
        <v>22</v>
      </c>
      <c r="U24" s="9">
        <v>68000</v>
      </c>
      <c r="V24" s="9" t="s">
        <v>22</v>
      </c>
      <c r="W24" s="9">
        <v>160000</v>
      </c>
      <c r="X24" s="9" t="s">
        <v>22</v>
      </c>
      <c r="Y24" s="42">
        <f t="shared" si="4"/>
        <v>92000</v>
      </c>
      <c r="Z24" s="9" t="str">
        <f t="shared" si="5"/>
        <v>Non-Uniform</v>
      </c>
      <c r="AA24" s="21">
        <f t="shared" si="6"/>
        <v>135.29411764705881</v>
      </c>
      <c r="AB24" s="34"/>
      <c r="AC24" s="30">
        <v>49961.599999999999</v>
      </c>
      <c r="AD24" s="30">
        <v>5224.5</v>
      </c>
      <c r="AE24" s="30">
        <v>5418.6</v>
      </c>
      <c r="AF24" s="30">
        <v>7214.5</v>
      </c>
      <c r="AG24" s="9">
        <v>67819.199999999997</v>
      </c>
      <c r="AH24" s="7"/>
      <c r="AI24" s="30">
        <v>39941.200000000004</v>
      </c>
      <c r="AJ24" s="30">
        <v>39969</v>
      </c>
      <c r="AK24" s="30">
        <v>39956.400000000001</v>
      </c>
      <c r="AL24" s="30">
        <v>39865.4</v>
      </c>
      <c r="AM24" s="9">
        <v>159732</v>
      </c>
    </row>
    <row r="25" spans="1:39" x14ac:dyDescent="0.2">
      <c r="A25" s="12">
        <v>23</v>
      </c>
      <c r="B25" s="12">
        <v>0.86</v>
      </c>
      <c r="C25" s="12">
        <v>0.87</v>
      </c>
      <c r="D25" s="12">
        <v>0.82</v>
      </c>
      <c r="E25" s="12">
        <v>0.81</v>
      </c>
      <c r="F25" s="20">
        <v>1.7</v>
      </c>
      <c r="G25" s="20">
        <v>1.7</v>
      </c>
      <c r="H25" s="20">
        <v>3.7</v>
      </c>
      <c r="I25" s="20">
        <v>4.3</v>
      </c>
      <c r="J25" s="12">
        <v>0.50594374211455695</v>
      </c>
      <c r="K25" s="12">
        <v>0.35416061948018984</v>
      </c>
      <c r="L25" s="12">
        <v>0.222362934762834</v>
      </c>
      <c r="M25" s="12">
        <v>0.29351907388694198</v>
      </c>
      <c r="N25" s="12">
        <v>3.1746101522396399</v>
      </c>
      <c r="O25" s="12">
        <v>2.9206413400604698</v>
      </c>
      <c r="P25" s="12" t="b">
        <v>1</v>
      </c>
      <c r="Q25" s="12" t="b">
        <v>1</v>
      </c>
      <c r="R25" s="12" t="b">
        <v>1</v>
      </c>
      <c r="S25" s="12" t="str">
        <f t="shared" si="0"/>
        <v>Satisfied</v>
      </c>
      <c r="T25" s="9">
        <v>23</v>
      </c>
      <c r="U25" s="9">
        <v>16000</v>
      </c>
      <c r="V25" s="9" t="s">
        <v>23</v>
      </c>
      <c r="W25" s="9">
        <v>18000</v>
      </c>
      <c r="X25" s="9" t="s">
        <v>23</v>
      </c>
      <c r="Y25" s="42">
        <f t="shared" si="4"/>
        <v>2000</v>
      </c>
      <c r="Z25" s="9" t="str">
        <f t="shared" si="5"/>
        <v>Non-Uniform</v>
      </c>
      <c r="AA25" s="21">
        <f t="shared" si="6"/>
        <v>12.5</v>
      </c>
      <c r="AB25" s="34"/>
      <c r="AC25" s="30">
        <v>8996.4</v>
      </c>
      <c r="AD25" s="30">
        <v>2204.9</v>
      </c>
      <c r="AE25" s="30">
        <v>2268.1</v>
      </c>
      <c r="AF25" s="30">
        <v>2515.5</v>
      </c>
      <c r="AG25" s="9">
        <v>15984.9</v>
      </c>
      <c r="AH25" s="7"/>
      <c r="AI25" s="30">
        <v>4501.5999999999995</v>
      </c>
      <c r="AJ25" s="30">
        <v>4501.5999999999995</v>
      </c>
      <c r="AK25" s="30">
        <v>4502.9000000000005</v>
      </c>
      <c r="AL25" s="30">
        <v>4497.8</v>
      </c>
      <c r="AM25" s="36">
        <v>18003.899999999998</v>
      </c>
    </row>
    <row r="26" spans="1:39" x14ac:dyDescent="0.2">
      <c r="A26" s="12">
        <v>24</v>
      </c>
      <c r="B26" s="12">
        <v>0.88</v>
      </c>
      <c r="C26" s="12">
        <v>0.8</v>
      </c>
      <c r="D26" s="12">
        <v>0.89</v>
      </c>
      <c r="E26" s="12">
        <v>0.96</v>
      </c>
      <c r="F26" s="20">
        <v>2.9</v>
      </c>
      <c r="G26" s="20">
        <v>4.5</v>
      </c>
      <c r="H26" s="20">
        <v>3.7</v>
      </c>
      <c r="I26" s="20">
        <v>5</v>
      </c>
      <c r="J26" s="12">
        <v>0.62880803285977904</v>
      </c>
      <c r="K26" s="12">
        <f>J26*0.975</f>
        <v>0.61308783203828454</v>
      </c>
      <c r="L26" s="12">
        <v>0.20574654993542399</v>
      </c>
      <c r="M26" s="12">
        <v>0.26335558391734298</v>
      </c>
      <c r="N26" s="12">
        <v>3.3388810174060399</v>
      </c>
      <c r="O26" s="12">
        <f>N26*0.95</f>
        <v>3.1719369665357378</v>
      </c>
      <c r="P26" s="12" t="b">
        <f>IF(J26*1000&gt;K26*1000,TRUE,FALSE)</f>
        <v>1</v>
      </c>
      <c r="Q26" s="12" t="b">
        <f>IF(L26*1000&lt;M26*1000,TRUE,FALSE)</f>
        <v>1</v>
      </c>
      <c r="R26" s="12" t="b">
        <f>IF(N26*1000&gt;O26*1000,TRUE,FALSE)</f>
        <v>1</v>
      </c>
      <c r="S26" s="12" t="str">
        <f t="shared" si="0"/>
        <v>Satisfied</v>
      </c>
      <c r="T26" s="9">
        <v>24</v>
      </c>
      <c r="U26" s="9">
        <v>1822000</v>
      </c>
      <c r="V26" s="9" t="s">
        <v>23</v>
      </c>
      <c r="W26" s="9">
        <v>1494000</v>
      </c>
      <c r="X26" s="9" t="s">
        <v>23</v>
      </c>
      <c r="Y26" s="42">
        <f t="shared" si="4"/>
        <v>-328000</v>
      </c>
      <c r="Z26" s="9" t="str">
        <f t="shared" si="5"/>
        <v>Uniform</v>
      </c>
      <c r="AA26" s="21">
        <f t="shared" si="6"/>
        <v>-18.002195389681667</v>
      </c>
      <c r="AB26" s="34"/>
      <c r="AC26" s="30">
        <v>920288.9</v>
      </c>
      <c r="AD26" s="30">
        <v>234166.5</v>
      </c>
      <c r="AE26" s="30">
        <v>243189.90000000002</v>
      </c>
      <c r="AF26" s="30">
        <v>417215</v>
      </c>
      <c r="AG26" s="9">
        <v>1814860.2999999998</v>
      </c>
      <c r="AH26" s="7"/>
      <c r="AI26" s="30">
        <v>372609.39999999997</v>
      </c>
      <c r="AJ26" s="30">
        <v>373135.5</v>
      </c>
      <c r="AK26" s="30">
        <v>373133.9</v>
      </c>
      <c r="AL26" s="30">
        <v>373510</v>
      </c>
      <c r="AM26" s="9">
        <v>1492388.7999999998</v>
      </c>
    </row>
    <row r="27" spans="1:39" x14ac:dyDescent="0.2">
      <c r="A27" s="12">
        <v>25</v>
      </c>
      <c r="B27" s="12">
        <v>0.95</v>
      </c>
      <c r="C27" s="12">
        <v>0.89</v>
      </c>
      <c r="D27" s="12">
        <v>0.84</v>
      </c>
      <c r="E27" s="12">
        <v>0.89</v>
      </c>
      <c r="F27" s="20">
        <v>1.3</v>
      </c>
      <c r="G27" s="20">
        <v>4.4000000000000004</v>
      </c>
      <c r="H27" s="20">
        <v>2.9</v>
      </c>
      <c r="I27" s="20">
        <v>1.8</v>
      </c>
      <c r="J27" s="12">
        <v>0.69442026630869103</v>
      </c>
      <c r="K27" s="12">
        <v>0.72219707696103896</v>
      </c>
      <c r="L27" s="12">
        <v>8.6548435068878493E-2</v>
      </c>
      <c r="M27" s="12">
        <v>7.7893591561990702E-2</v>
      </c>
      <c r="N27" s="12">
        <v>3.50228056628427</v>
      </c>
      <c r="O27" s="12">
        <v>3.6930559588209202</v>
      </c>
      <c r="P27" s="12" t="b">
        <v>0</v>
      </c>
      <c r="Q27" s="12" t="b">
        <v>0</v>
      </c>
      <c r="R27" s="12" t="b">
        <v>0</v>
      </c>
      <c r="S27" s="12" t="str">
        <f t="shared" si="0"/>
        <v>Violated</v>
      </c>
      <c r="T27" s="9">
        <v>25</v>
      </c>
      <c r="U27" s="9">
        <v>26000</v>
      </c>
      <c r="V27" s="9" t="s">
        <v>22</v>
      </c>
      <c r="W27" s="9">
        <v>22000</v>
      </c>
      <c r="X27" s="9" t="s">
        <v>22</v>
      </c>
      <c r="Y27" s="42">
        <f t="shared" si="4"/>
        <v>-4000</v>
      </c>
      <c r="Z27" s="9" t="str">
        <f t="shared" si="5"/>
        <v>Uniform</v>
      </c>
      <c r="AA27" s="21">
        <f t="shared" si="6"/>
        <v>-15.384615384615385</v>
      </c>
      <c r="AB27" s="34"/>
      <c r="AC27" s="30">
        <v>13618.800000000001</v>
      </c>
      <c r="AD27" s="30">
        <v>3709.2000000000003</v>
      </c>
      <c r="AE27" s="30">
        <v>3822.2</v>
      </c>
      <c r="AF27" s="30">
        <v>4807.8</v>
      </c>
      <c r="AG27" s="9">
        <v>25958</v>
      </c>
      <c r="AH27" s="7"/>
      <c r="AI27" s="30">
        <v>5493.8</v>
      </c>
      <c r="AJ27" s="30">
        <v>5478</v>
      </c>
      <c r="AK27" s="30">
        <v>5492.5999999999995</v>
      </c>
      <c r="AL27" s="30">
        <v>5488.2</v>
      </c>
      <c r="AM27" s="9">
        <v>21952.6</v>
      </c>
    </row>
    <row r="28" spans="1:39" x14ac:dyDescent="0.2">
      <c r="A28" s="12">
        <v>26</v>
      </c>
      <c r="B28" s="12">
        <v>0.8</v>
      </c>
      <c r="C28" s="12">
        <v>0.89</v>
      </c>
      <c r="D28" s="12">
        <v>0.95</v>
      </c>
      <c r="E28" s="12">
        <v>0.97</v>
      </c>
      <c r="F28" s="20">
        <v>1.6</v>
      </c>
      <c r="G28" s="20">
        <v>3.9</v>
      </c>
      <c r="H28" s="20">
        <v>1.1000000000000001</v>
      </c>
      <c r="I28" s="20">
        <v>3.5</v>
      </c>
      <c r="J28" s="12">
        <v>0.57147816131759799</v>
      </c>
      <c r="K28" s="12">
        <f>J28*0.78</f>
        <v>0.44575296582772644</v>
      </c>
      <c r="L28" s="12">
        <v>0.34286954032939898</v>
      </c>
      <c r="M28" s="12">
        <v>0.436016488638101</v>
      </c>
      <c r="N28" s="12">
        <v>3.2507874068220901</v>
      </c>
      <c r="O28" s="12">
        <f>N28*0.81</f>
        <v>2.6331377995258931</v>
      </c>
      <c r="P28" s="12" t="b">
        <f>IF(J28*1000&gt;K28*1000,TRUE,FALSE)</f>
        <v>1</v>
      </c>
      <c r="Q28" s="12" t="b">
        <f>IF(L28*1000&lt;M28*1000,TRUE,FALSE)</f>
        <v>1</v>
      </c>
      <c r="R28" s="12" t="b">
        <f>IF(N28*1000&gt;O28*1000,TRUE,FALSE)</f>
        <v>1</v>
      </c>
      <c r="S28" s="12" t="str">
        <f t="shared" si="0"/>
        <v>Satisfied</v>
      </c>
      <c r="T28" s="9">
        <v>26</v>
      </c>
      <c r="U28" s="9">
        <v>10000</v>
      </c>
      <c r="V28" s="9" t="s">
        <v>23</v>
      </c>
      <c r="W28" s="9">
        <v>14000</v>
      </c>
      <c r="X28" s="9" t="s">
        <v>23</v>
      </c>
      <c r="Y28" s="42">
        <f t="shared" si="4"/>
        <v>4000</v>
      </c>
      <c r="Z28" s="9" t="str">
        <f t="shared" si="5"/>
        <v>Non-Uniform</v>
      </c>
      <c r="AA28" s="21">
        <f t="shared" si="6"/>
        <v>40</v>
      </c>
      <c r="AB28" s="34"/>
      <c r="AC28" s="30">
        <v>5496</v>
      </c>
      <c r="AD28" s="30">
        <v>1283.0999999999999</v>
      </c>
      <c r="AE28" s="30">
        <v>1312.3000000000002</v>
      </c>
      <c r="AF28" s="30">
        <v>1904</v>
      </c>
      <c r="AG28" s="9">
        <v>9995.4000000000015</v>
      </c>
      <c r="AH28" s="7"/>
      <c r="AI28" s="30">
        <v>3497.6000000000004</v>
      </c>
      <c r="AJ28" s="30">
        <v>3502.2</v>
      </c>
      <c r="AK28" s="30">
        <v>3498.0000000000005</v>
      </c>
      <c r="AL28" s="30">
        <v>3486</v>
      </c>
      <c r="AM28" s="9">
        <v>13983.800000000001</v>
      </c>
    </row>
    <row r="29" spans="1:39" x14ac:dyDescent="0.2">
      <c r="A29" s="12">
        <v>27</v>
      </c>
      <c r="B29" s="12">
        <v>0.91</v>
      </c>
      <c r="C29" s="12">
        <v>0.9</v>
      </c>
      <c r="D29" s="12">
        <v>0.89</v>
      </c>
      <c r="E29" s="12">
        <v>0.86</v>
      </c>
      <c r="F29" s="20">
        <v>3.4</v>
      </c>
      <c r="G29" s="20">
        <v>4.5</v>
      </c>
      <c r="H29" s="20">
        <v>4</v>
      </c>
      <c r="I29" s="20">
        <v>2.1</v>
      </c>
      <c r="J29" s="12">
        <v>0.637322901739521</v>
      </c>
      <c r="K29" s="12">
        <f>J29*0.87</f>
        <v>0.55447092451338331</v>
      </c>
      <c r="L29" s="12">
        <v>0.15303193533687501</v>
      </c>
      <c r="M29" s="12">
        <v>0.189759599817725</v>
      </c>
      <c r="N29" s="12">
        <v>3.42471969274593</v>
      </c>
      <c r="O29" s="12">
        <f>N29*0.84</f>
        <v>2.876764541906581</v>
      </c>
      <c r="P29" s="12" t="b">
        <f>IF(J29*1000&gt;K29*1000,TRUE,FALSE)</f>
        <v>1</v>
      </c>
      <c r="Q29" s="12" t="b">
        <f>IF(L29*1000&lt;M29*1000,TRUE,FALSE)</f>
        <v>1</v>
      </c>
      <c r="R29" s="12" t="b">
        <f>IF(N29*1000&gt;O29*1000,TRUE,FALSE)</f>
        <v>1</v>
      </c>
      <c r="S29" s="12" t="str">
        <f t="shared" si="0"/>
        <v>Satisfied</v>
      </c>
      <c r="T29" s="9">
        <v>27</v>
      </c>
      <c r="U29" s="9">
        <v>66000</v>
      </c>
      <c r="V29" s="9" t="s">
        <v>23</v>
      </c>
      <c r="W29" s="9">
        <v>100000</v>
      </c>
      <c r="X29" s="9" t="s">
        <v>23</v>
      </c>
      <c r="Y29" s="42">
        <f t="shared" si="4"/>
        <v>34000</v>
      </c>
      <c r="Z29" s="9" t="str">
        <f t="shared" si="5"/>
        <v>Non-Uniform</v>
      </c>
      <c r="AA29" s="21">
        <f t="shared" si="6"/>
        <v>51.515151515151516</v>
      </c>
      <c r="AB29" s="34"/>
      <c r="AC29" s="30">
        <v>42306.2</v>
      </c>
      <c r="AD29" s="30">
        <v>5769</v>
      </c>
      <c r="AE29" s="30">
        <v>5960</v>
      </c>
      <c r="AF29" s="30">
        <v>11747.4</v>
      </c>
      <c r="AG29" s="9">
        <v>65782.599999999991</v>
      </c>
      <c r="AH29" s="7"/>
      <c r="AI29" s="30">
        <v>24996.799999999999</v>
      </c>
      <c r="AJ29" s="30">
        <v>24984</v>
      </c>
      <c r="AK29" s="30">
        <v>25008</v>
      </c>
      <c r="AL29" s="30">
        <v>24994.2</v>
      </c>
      <c r="AM29" s="9">
        <v>99983</v>
      </c>
    </row>
    <row r="30" spans="1:39" x14ac:dyDescent="0.2">
      <c r="A30" s="12">
        <v>28</v>
      </c>
      <c r="B30" s="12">
        <v>0.82</v>
      </c>
      <c r="C30" s="12">
        <v>0.84</v>
      </c>
      <c r="D30" s="12">
        <v>0.96</v>
      </c>
      <c r="E30" s="12">
        <v>0.94</v>
      </c>
      <c r="F30" s="20">
        <v>2.8</v>
      </c>
      <c r="G30" s="20">
        <v>3.6</v>
      </c>
      <c r="H30" s="20">
        <v>4.3</v>
      </c>
      <c r="I30" s="20">
        <v>2.1</v>
      </c>
      <c r="J30" s="12">
        <v>0.56954732811959796</v>
      </c>
      <c r="K30" s="12">
        <v>0.52398354187003005</v>
      </c>
      <c r="L30" s="12">
        <v>0.30502258422137501</v>
      </c>
      <c r="M30" s="12">
        <f>L30*1.092</f>
        <v>0.33308466196974157</v>
      </c>
      <c r="N30" s="12">
        <v>3.2534728626384402</v>
      </c>
      <c r="O30" s="12">
        <f>N30*0.94</f>
        <v>3.0582644908801337</v>
      </c>
      <c r="P30" s="12" t="b">
        <f>IF(J30*1000&gt;K30*1000,TRUE,FALSE)</f>
        <v>1</v>
      </c>
      <c r="Q30" s="12" t="b">
        <f>IF(L30*1000&lt;M30*1000,TRUE,FALSE)</f>
        <v>1</v>
      </c>
      <c r="R30" s="12" t="b">
        <f>IF(N30*1000&gt;O30*1000,TRUE,FALSE)</f>
        <v>1</v>
      </c>
      <c r="S30" s="12" t="str">
        <f t="shared" si="0"/>
        <v>Satisfied</v>
      </c>
      <c r="T30" s="9">
        <v>28</v>
      </c>
      <c r="U30" s="9">
        <v>126000</v>
      </c>
      <c r="V30" s="9" t="s">
        <v>23</v>
      </c>
      <c r="W30" s="9">
        <v>170000</v>
      </c>
      <c r="X30" s="9" t="s">
        <v>23</v>
      </c>
      <c r="Y30" s="42">
        <f t="shared" si="4"/>
        <v>44000</v>
      </c>
      <c r="Z30" s="9" t="str">
        <f t="shared" si="5"/>
        <v>Non-Uniform</v>
      </c>
      <c r="AA30" s="21">
        <f t="shared" si="6"/>
        <v>34.920634920634917</v>
      </c>
      <c r="AB30" s="34"/>
      <c r="AC30" s="30">
        <v>76283.199999999997</v>
      </c>
      <c r="AD30" s="30">
        <v>12938.4</v>
      </c>
      <c r="AE30" s="30">
        <v>13424.599999999999</v>
      </c>
      <c r="AF30" s="30">
        <v>22980.3</v>
      </c>
      <c r="AG30" s="9">
        <v>125626.49999999999</v>
      </c>
      <c r="AH30" s="7"/>
      <c r="AI30" s="30">
        <v>42369.599999999999</v>
      </c>
      <c r="AJ30" s="30">
        <v>42235.200000000004</v>
      </c>
      <c r="AK30" s="30">
        <v>42406.6</v>
      </c>
      <c r="AL30" s="30">
        <v>42487.200000000004</v>
      </c>
      <c r="AM30" s="9">
        <v>169498.6</v>
      </c>
    </row>
    <row r="31" spans="1:39" x14ac:dyDescent="0.2">
      <c r="A31" s="12">
        <v>29</v>
      </c>
      <c r="B31" s="12">
        <v>0.94</v>
      </c>
      <c r="C31" s="12">
        <v>0.89</v>
      </c>
      <c r="D31" s="12">
        <v>0.93</v>
      </c>
      <c r="E31" s="12">
        <v>0.86</v>
      </c>
      <c r="F31" s="20">
        <v>3.7</v>
      </c>
      <c r="G31" s="20">
        <v>1.9</v>
      </c>
      <c r="H31" s="20">
        <v>1.7</v>
      </c>
      <c r="I31" s="20">
        <v>4.9000000000000004</v>
      </c>
      <c r="J31" s="12">
        <v>0.69178450213195997</v>
      </c>
      <c r="K31" s="12">
        <v>0.76987002199999999</v>
      </c>
      <c r="L31" s="12">
        <v>0.10415645758289099</v>
      </c>
      <c r="M31" s="12">
        <f>L31*0.85</f>
        <v>8.8532988945457344E-2</v>
      </c>
      <c r="N31" s="12">
        <v>3.53168496420686</v>
      </c>
      <c r="O31" s="12">
        <v>3.6898784610000002</v>
      </c>
      <c r="P31" s="12" t="b">
        <f>IF(J31*1000&gt;K31*1000,TRUE,FALSE)</f>
        <v>0</v>
      </c>
      <c r="Q31" s="12" t="b">
        <f>IF(L31*1000&lt;M31*1000,TRUE,FALSE)</f>
        <v>0</v>
      </c>
      <c r="R31" s="12" t="b">
        <f>IF(N31*1000&gt;O31*1000,TRUE,FALSE)</f>
        <v>0</v>
      </c>
      <c r="S31" s="12" t="str">
        <f t="shared" si="0"/>
        <v>Violated</v>
      </c>
      <c r="T31" s="9">
        <v>29</v>
      </c>
      <c r="U31" s="9">
        <v>44000</v>
      </c>
      <c r="V31" s="9" t="s">
        <v>22</v>
      </c>
      <c r="W31" s="9">
        <v>46000</v>
      </c>
      <c r="X31" s="9" t="s">
        <v>22</v>
      </c>
      <c r="Y31" s="42">
        <f t="shared" si="4"/>
        <v>2000</v>
      </c>
      <c r="Z31" s="9" t="str">
        <f t="shared" si="5"/>
        <v>Non-Uniform</v>
      </c>
      <c r="AA31" s="21">
        <f t="shared" si="6"/>
        <v>4.5454545454545459</v>
      </c>
      <c r="AB31" s="34"/>
      <c r="AC31" s="30">
        <v>24105.5</v>
      </c>
      <c r="AD31" s="30">
        <v>6203.5</v>
      </c>
      <c r="AE31" s="30">
        <v>6420.9</v>
      </c>
      <c r="AF31" s="30">
        <v>7193.2000000000007</v>
      </c>
      <c r="AG31" s="9">
        <v>43923.100000000006</v>
      </c>
      <c r="AH31" s="7"/>
      <c r="AI31" s="30">
        <v>11495.900000000001</v>
      </c>
      <c r="AJ31" s="30">
        <v>11496.9</v>
      </c>
      <c r="AK31" s="30">
        <v>11498.8</v>
      </c>
      <c r="AL31" s="30">
        <v>11505.2</v>
      </c>
      <c r="AM31" s="9">
        <v>45996.800000000003</v>
      </c>
    </row>
    <row r="32" spans="1:39" x14ac:dyDescent="0.2">
      <c r="A32" s="12">
        <v>30</v>
      </c>
      <c r="B32" s="12">
        <v>0.9</v>
      </c>
      <c r="C32" s="12">
        <v>0.99</v>
      </c>
      <c r="D32" s="12">
        <v>0.83</v>
      </c>
      <c r="E32" s="12">
        <v>0.81</v>
      </c>
      <c r="F32" s="20">
        <v>3.6</v>
      </c>
      <c r="G32" s="20">
        <v>2.5</v>
      </c>
      <c r="H32" s="20">
        <v>3.1</v>
      </c>
      <c r="I32" s="20">
        <v>1.9</v>
      </c>
      <c r="J32" s="12">
        <v>0.59608595272725196</v>
      </c>
      <c r="K32" s="12">
        <f>J32*0.929</f>
        <v>0.55376385008361706</v>
      </c>
      <c r="L32" s="12">
        <v>0.16623177252525001</v>
      </c>
      <c r="M32" s="12">
        <v>0.189504220678785</v>
      </c>
      <c r="N32" s="12">
        <v>3.3799927660520601</v>
      </c>
      <c r="O32" s="12">
        <f>N32*0.75</f>
        <v>2.534994574539045</v>
      </c>
      <c r="P32" s="12" t="b">
        <f>IF(J32*1000&gt;K32*1000,TRUE,FALSE)</f>
        <v>1</v>
      </c>
      <c r="Q32" s="12" t="b">
        <f>IF(L32*1000&lt;M32*1000,TRUE,FALSE)</f>
        <v>1</v>
      </c>
      <c r="R32" s="12" t="b">
        <f>IF(N32*1000&gt;O32*1000,TRUE,FALSE)</f>
        <v>1</v>
      </c>
      <c r="S32" s="12" t="str">
        <f t="shared" si="0"/>
        <v>Satisfied</v>
      </c>
      <c r="T32" s="9">
        <v>30</v>
      </c>
      <c r="U32" s="9">
        <v>148000</v>
      </c>
      <c r="V32" s="9" t="s">
        <v>23</v>
      </c>
      <c r="W32" s="9">
        <v>152000</v>
      </c>
      <c r="X32" s="9" t="s">
        <v>23</v>
      </c>
      <c r="Y32" s="42">
        <f t="shared" si="4"/>
        <v>4000</v>
      </c>
      <c r="Z32" s="9" t="str">
        <f t="shared" si="5"/>
        <v>Non-Uniform</v>
      </c>
      <c r="AA32" s="21">
        <f t="shared" si="6"/>
        <v>2.7027027027027026</v>
      </c>
      <c r="AB32" s="34"/>
      <c r="AC32" s="30">
        <v>92876.400000000009</v>
      </c>
      <c r="AD32" s="30">
        <v>12732.5</v>
      </c>
      <c r="AE32" s="30">
        <v>13178.1</v>
      </c>
      <c r="AF32" s="30">
        <v>28823</v>
      </c>
      <c r="AG32" s="9">
        <v>147610</v>
      </c>
      <c r="AH32" s="7"/>
      <c r="AI32" s="30">
        <v>37764</v>
      </c>
      <c r="AJ32" s="30">
        <v>38005</v>
      </c>
      <c r="AK32" s="30">
        <v>37937.800000000003</v>
      </c>
      <c r="AL32" s="30">
        <v>37981</v>
      </c>
      <c r="AM32" s="9">
        <v>151687.79999999999</v>
      </c>
    </row>
    <row r="33" spans="1:36" x14ac:dyDescent="0.2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10" t="s">
        <v>23</v>
      </c>
      <c r="S33" s="11">
        <f>COUNTIF(S3:S32,"Satisfied")</f>
        <v>15</v>
      </c>
      <c r="T33" s="4" t="s">
        <v>24</v>
      </c>
      <c r="U33" s="4">
        <f>SUM(U3:U32)</f>
        <v>9600000</v>
      </c>
      <c r="V33" s="4" t="str">
        <f>IF(U33&gt;W33,"&gt;",IF(U33=W33,"=","&lt;"))</f>
        <v>&lt;</v>
      </c>
      <c r="W33" s="4">
        <f>SUM(W3:W32)</f>
        <v>13204000</v>
      </c>
      <c r="X33" s="4" t="s">
        <v>25</v>
      </c>
      <c r="Y33" s="4">
        <f>SUM(Y3:Y32)</f>
        <v>3604000</v>
      </c>
      <c r="Z33" s="5" t="s">
        <v>26</v>
      </c>
      <c r="AA33" s="6">
        <f>AVERAGE(AA3:AA32)</f>
        <v>32.990719385973364</v>
      </c>
      <c r="AB33" s="34"/>
    </row>
    <row r="34" spans="1:36" x14ac:dyDescent="0.2">
      <c r="A34" s="7"/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3" t="s">
        <v>22</v>
      </c>
      <c r="S34" s="3">
        <f>COUNTIF(S3:S32,"Violated")</f>
        <v>15</v>
      </c>
      <c r="T34" s="7"/>
      <c r="U34" s="7"/>
      <c r="V34" s="7"/>
      <c r="W34" s="7"/>
      <c r="X34" s="7"/>
      <c r="Y34" s="7"/>
      <c r="Z34" s="5" t="s">
        <v>27</v>
      </c>
      <c r="AA34" s="6">
        <f>STDEV(AA3:AA32)</f>
        <v>42.592220792595</v>
      </c>
      <c r="AB34" s="34"/>
    </row>
    <row r="35" spans="1:36" x14ac:dyDescent="0.2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2" t="s">
        <v>28</v>
      </c>
      <c r="AA35" s="3">
        <f>COUNTIF(Z3:Z32,"Uniform")</f>
        <v>7</v>
      </c>
      <c r="AB35" s="34"/>
    </row>
    <row r="36" spans="1:36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3" t="s">
        <v>29</v>
      </c>
      <c r="AA36" s="3">
        <f>COUNTIF(Z3:Z32,"Non-uniform")</f>
        <v>23</v>
      </c>
      <c r="AB36" s="34"/>
      <c r="AF36" s="35" t="s">
        <v>44</v>
      </c>
      <c r="AG36" s="43" t="s">
        <v>40</v>
      </c>
      <c r="AH36" s="43"/>
      <c r="AI36" s="43"/>
      <c r="AJ36" s="43"/>
    </row>
    <row r="37" spans="1:36" x14ac:dyDescent="0.2">
      <c r="A37" s="7"/>
      <c r="B37" s="7"/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8"/>
      <c r="Y37" s="7"/>
      <c r="Z37" s="3" t="s">
        <v>30</v>
      </c>
      <c r="AA37" s="3">
        <f>COUNTIF(Z3:Z32,"equal")</f>
        <v>0</v>
      </c>
      <c r="AB37" s="34"/>
      <c r="AF37" s="35" t="s">
        <v>45</v>
      </c>
      <c r="AG37" s="43" t="s">
        <v>41</v>
      </c>
      <c r="AH37" s="43"/>
      <c r="AI37" s="43"/>
      <c r="AJ37" s="43"/>
    </row>
    <row r="38" spans="1:36" x14ac:dyDescent="0.2">
      <c r="A38" s="7"/>
      <c r="B38" s="7"/>
      <c r="C38" s="7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 t="s">
        <v>24</v>
      </c>
      <c r="AA38" s="7">
        <f>SUM(AA35:AA37)</f>
        <v>30</v>
      </c>
      <c r="AF38" s="35" t="s">
        <v>46</v>
      </c>
      <c r="AG38" s="43" t="s">
        <v>42</v>
      </c>
      <c r="AH38" s="43"/>
      <c r="AI38" s="43"/>
      <c r="AJ38" s="43"/>
    </row>
    <row r="39" spans="1:36" x14ac:dyDescent="0.2">
      <c r="A39" s="7"/>
      <c r="B39" s="7"/>
      <c r="C39" s="7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Z39" s="7"/>
      <c r="AA39" s="7"/>
      <c r="AF39" s="35" t="s">
        <v>47</v>
      </c>
      <c r="AG39" s="43" t="s">
        <v>43</v>
      </c>
      <c r="AH39" s="43"/>
      <c r="AI39" s="43"/>
      <c r="AJ39" s="43"/>
    </row>
    <row r="40" spans="1:36" x14ac:dyDescent="0.2">
      <c r="A40" s="7"/>
      <c r="B40" s="7"/>
      <c r="C40" s="7"/>
      <c r="D40" s="7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  <c r="AA40" s="7"/>
    </row>
    <row r="41" spans="1:36" x14ac:dyDescent="0.2">
      <c r="A41" s="7"/>
      <c r="B41" s="7"/>
      <c r="C41" s="7"/>
      <c r="D41" s="7"/>
      <c r="E41" s="7"/>
      <c r="F41" s="7"/>
      <c r="G41" s="7"/>
      <c r="H41" s="7"/>
      <c r="I41" s="7"/>
      <c r="J41" s="12" t="s">
        <v>32</v>
      </c>
      <c r="K41" s="12" t="s">
        <v>31</v>
      </c>
      <c r="L41" s="12" t="s">
        <v>33</v>
      </c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</row>
    <row r="42" spans="1:36" x14ac:dyDescent="0.2">
      <c r="A42" s="7"/>
      <c r="B42" s="7"/>
      <c r="C42" s="7"/>
      <c r="D42" s="7"/>
      <c r="E42" s="7"/>
      <c r="F42" s="7"/>
      <c r="G42" s="7"/>
      <c r="H42" s="7"/>
      <c r="I42" s="7"/>
      <c r="J42" s="13">
        <v>2019</v>
      </c>
      <c r="K42" s="13">
        <v>500</v>
      </c>
      <c r="L42" s="13" t="s">
        <v>34</v>
      </c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</row>
    <row r="43" spans="1:36" x14ac:dyDescent="0.2">
      <c r="A43" s="7"/>
      <c r="B43" s="7"/>
      <c r="C43" s="7"/>
      <c r="D43" s="7"/>
      <c r="E43" s="7"/>
      <c r="F43" s="7"/>
      <c r="G43" s="7"/>
      <c r="H43" s="7"/>
      <c r="I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</row>
    <row r="44" spans="1:36" x14ac:dyDescent="0.2">
      <c r="A44" s="7"/>
      <c r="B44" s="7"/>
      <c r="C44" s="7"/>
      <c r="D44" s="7"/>
      <c r="E44" s="7"/>
      <c r="F44" s="7"/>
      <c r="G44" s="7"/>
      <c r="H44" s="7"/>
      <c r="I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</row>
    <row r="45" spans="1:36" x14ac:dyDescent="0.2">
      <c r="A45" s="7"/>
      <c r="B45" s="7"/>
      <c r="C45" s="7"/>
      <c r="D45" s="7"/>
      <c r="E45" s="7"/>
      <c r="F45" s="7"/>
      <c r="G45" s="7"/>
      <c r="H45" s="7"/>
      <c r="I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</row>
    <row r="46" spans="1:36" x14ac:dyDescent="0.2">
      <c r="A46" s="7"/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16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</row>
    <row r="47" spans="1:36" x14ac:dyDescent="0.2">
      <c r="A47" s="7"/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  <c r="AA47" s="7"/>
    </row>
    <row r="48" spans="1:36" x14ac:dyDescent="0.2">
      <c r="A48" s="7"/>
      <c r="B48" s="7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  <c r="AA48" s="7"/>
      <c r="AC48" s="37"/>
    </row>
    <row r="49" spans="1:27" x14ac:dyDescent="0.2">
      <c r="A49" s="7"/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</row>
    <row r="50" spans="1:27" x14ac:dyDescent="0.2">
      <c r="A50" s="7"/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</row>
    <row r="51" spans="1:27" x14ac:dyDescent="0.2">
      <c r="A51" s="7"/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</row>
    <row r="52" spans="1:27" x14ac:dyDescent="0.2">
      <c r="A52" s="7"/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</row>
  </sheetData>
  <mergeCells count="33">
    <mergeCell ref="AM1:AM2"/>
    <mergeCell ref="AC1:AF1"/>
    <mergeCell ref="AG36:AJ36"/>
    <mergeCell ref="F1:F2"/>
    <mergeCell ref="G1:G2"/>
    <mergeCell ref="H1:H2"/>
    <mergeCell ref="I1:I2"/>
    <mergeCell ref="Y1:Y2"/>
    <mergeCell ref="J1:J2"/>
    <mergeCell ref="K1:K2"/>
    <mergeCell ref="L1:L2"/>
    <mergeCell ref="M1:M2"/>
    <mergeCell ref="N1:N2"/>
    <mergeCell ref="O1:O2"/>
    <mergeCell ref="P1:P2"/>
    <mergeCell ref="Q1:Q2"/>
    <mergeCell ref="R1:R2"/>
    <mergeCell ref="S1:S2"/>
    <mergeCell ref="Z1:Z2"/>
    <mergeCell ref="AA1:AA2"/>
    <mergeCell ref="T1:T2"/>
    <mergeCell ref="U1:V1"/>
    <mergeCell ref="A1:A2"/>
    <mergeCell ref="B1:B2"/>
    <mergeCell ref="C1:C2"/>
    <mergeCell ref="D1:D2"/>
    <mergeCell ref="E1:E2"/>
    <mergeCell ref="AI1:AL1"/>
    <mergeCell ref="W1:X1"/>
    <mergeCell ref="AG37:AJ37"/>
    <mergeCell ref="AG38:AJ38"/>
    <mergeCell ref="AG39:AJ39"/>
    <mergeCell ref="AG1:AG2"/>
  </mergeCells>
  <phoneticPr fontId="8" type="noConversion"/>
  <conditionalFormatting sqref="Z3:Z6">
    <cfRule type="expression" dxfId="1" priority="1">
      <formula>$AL3="Non-Uniform"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M52"/>
  <sheetViews>
    <sheetView tabSelected="1" zoomScale="99" zoomScaleNormal="100" workbookViewId="0">
      <selection activeCell="A3" sqref="A3"/>
    </sheetView>
  </sheetViews>
  <sheetFormatPr baseColWidth="10" defaultColWidth="8.83203125" defaultRowHeight="15" x14ac:dyDescent="0.2"/>
  <cols>
    <col min="2" max="2" width="11.1640625" bestFit="1" customWidth="1"/>
    <col min="3" max="3" width="19.6640625" bestFit="1" customWidth="1"/>
    <col min="4" max="4" width="18" bestFit="1" customWidth="1"/>
    <col min="5" max="5" width="14.6640625" bestFit="1" customWidth="1"/>
    <col min="6" max="9" width="7.33203125" customWidth="1"/>
    <col min="10" max="11" width="21.5" bestFit="1" customWidth="1"/>
    <col min="12" max="12" width="20.33203125" bestFit="1" customWidth="1"/>
    <col min="13" max="13" width="21.5" bestFit="1" customWidth="1"/>
    <col min="14" max="15" width="8" bestFit="1" customWidth="1"/>
    <col min="16" max="20" width="9" bestFit="1" customWidth="1"/>
    <col min="21" max="21" width="9.33203125" bestFit="1" customWidth="1"/>
    <col min="22" max="22" width="8.83203125" customWidth="1"/>
    <col min="23" max="23" width="11.1640625" customWidth="1"/>
    <col min="24" max="24" width="9.6640625" customWidth="1"/>
    <col min="25" max="25" width="14.6640625" customWidth="1"/>
    <col min="26" max="26" width="18.83203125" customWidth="1"/>
    <col min="27" max="27" width="16.33203125" style="25" customWidth="1"/>
    <col min="28" max="28" width="8.83203125" customWidth="1"/>
    <col min="29" max="29" width="15.83203125" customWidth="1"/>
    <col min="30" max="30" width="19.5" customWidth="1"/>
    <col min="31" max="31" width="16" customWidth="1"/>
    <col min="32" max="32" width="14.5" customWidth="1"/>
    <col min="33" max="33" width="9.5" customWidth="1"/>
    <col min="34" max="34" width="8.83203125" customWidth="1"/>
    <col min="35" max="35" width="12.6640625" customWidth="1"/>
    <col min="36" max="36" width="18.33203125" customWidth="1"/>
    <col min="37" max="37" width="16.6640625" customWidth="1"/>
    <col min="38" max="38" width="15.5" customWidth="1"/>
  </cols>
  <sheetData>
    <row r="1" spans="1:39" x14ac:dyDescent="0.2">
      <c r="A1" s="49" t="s">
        <v>13</v>
      </c>
      <c r="B1" s="49" t="s">
        <v>0</v>
      </c>
      <c r="C1" s="49" t="s">
        <v>1</v>
      </c>
      <c r="D1" s="49" t="s">
        <v>2</v>
      </c>
      <c r="E1" s="49" t="s">
        <v>3</v>
      </c>
      <c r="F1" s="44" t="s">
        <v>35</v>
      </c>
      <c r="G1" s="44" t="s">
        <v>36</v>
      </c>
      <c r="H1" s="44" t="s">
        <v>37</v>
      </c>
      <c r="I1" s="44" t="s">
        <v>38</v>
      </c>
      <c r="J1" s="49" t="s">
        <v>4</v>
      </c>
      <c r="K1" s="49" t="s">
        <v>5</v>
      </c>
      <c r="L1" s="49" t="s">
        <v>6</v>
      </c>
      <c r="M1" s="49" t="s">
        <v>7</v>
      </c>
      <c r="N1" s="49" t="s">
        <v>8</v>
      </c>
      <c r="O1" s="49" t="s">
        <v>9</v>
      </c>
      <c r="P1" s="49" t="s">
        <v>10</v>
      </c>
      <c r="Q1" s="49" t="s">
        <v>11</v>
      </c>
      <c r="R1" s="49" t="s">
        <v>12</v>
      </c>
      <c r="S1" s="49" t="s">
        <v>20</v>
      </c>
      <c r="T1" s="60" t="s">
        <v>13</v>
      </c>
      <c r="U1" s="60" t="s">
        <v>14</v>
      </c>
      <c r="V1" s="60"/>
      <c r="W1" s="60" t="s">
        <v>15</v>
      </c>
      <c r="X1" s="60"/>
      <c r="Y1" s="61" t="s">
        <v>16</v>
      </c>
      <c r="Z1" s="60" t="s">
        <v>17</v>
      </c>
      <c r="AA1" s="62" t="s">
        <v>18</v>
      </c>
      <c r="AB1" s="34"/>
      <c r="AC1" s="46" t="s">
        <v>48</v>
      </c>
      <c r="AD1" s="47"/>
      <c r="AE1" s="47"/>
      <c r="AF1" s="48"/>
      <c r="AG1" s="50" t="s">
        <v>49</v>
      </c>
      <c r="AH1" s="7"/>
      <c r="AI1" s="46" t="s">
        <v>48</v>
      </c>
      <c r="AJ1" s="47"/>
      <c r="AK1" s="47"/>
      <c r="AL1" s="48"/>
      <c r="AM1" s="50" t="s">
        <v>50</v>
      </c>
    </row>
    <row r="2" spans="1:39" x14ac:dyDescent="0.2">
      <c r="A2" s="49"/>
      <c r="B2" s="49"/>
      <c r="C2" s="49"/>
      <c r="D2" s="49"/>
      <c r="E2" s="49"/>
      <c r="F2" s="45"/>
      <c r="G2" s="45"/>
      <c r="H2" s="45"/>
      <c r="I2" s="45"/>
      <c r="J2" s="49"/>
      <c r="K2" s="49"/>
      <c r="L2" s="49"/>
      <c r="M2" s="49"/>
      <c r="N2" s="49"/>
      <c r="O2" s="49"/>
      <c r="P2" s="49"/>
      <c r="Q2" s="49"/>
      <c r="R2" s="49"/>
      <c r="S2" s="49"/>
      <c r="T2" s="60"/>
      <c r="U2" s="15" t="s">
        <v>19</v>
      </c>
      <c r="V2" s="14" t="s">
        <v>20</v>
      </c>
      <c r="W2" s="1" t="s">
        <v>21</v>
      </c>
      <c r="X2" s="14" t="s">
        <v>20</v>
      </c>
      <c r="Y2" s="61"/>
      <c r="Z2" s="60"/>
      <c r="AA2" s="63"/>
      <c r="AB2" s="34"/>
      <c r="AC2" s="31" t="s">
        <v>44</v>
      </c>
      <c r="AD2" s="31" t="s">
        <v>45</v>
      </c>
      <c r="AE2" s="31" t="s">
        <v>46</v>
      </c>
      <c r="AF2" s="31" t="s">
        <v>47</v>
      </c>
      <c r="AG2" s="51"/>
      <c r="AH2" s="7"/>
      <c r="AI2" s="31" t="s">
        <v>44</v>
      </c>
      <c r="AJ2" s="31" t="s">
        <v>45</v>
      </c>
      <c r="AK2" s="31" t="s">
        <v>46</v>
      </c>
      <c r="AL2" s="31" t="s">
        <v>47</v>
      </c>
      <c r="AM2" s="51"/>
    </row>
    <row r="3" spans="1:39" x14ac:dyDescent="0.2">
      <c r="A3" s="12">
        <v>1</v>
      </c>
      <c r="B3" s="12">
        <v>0.85</v>
      </c>
      <c r="C3" s="12">
        <v>0.85</v>
      </c>
      <c r="D3" s="12">
        <v>0.88</v>
      </c>
      <c r="E3" s="12">
        <v>0.8</v>
      </c>
      <c r="F3" s="20">
        <v>2.1</v>
      </c>
      <c r="G3" s="20">
        <v>4.4000000000000004</v>
      </c>
      <c r="H3" s="20">
        <v>2.6</v>
      </c>
      <c r="I3" s="20">
        <v>1.5</v>
      </c>
      <c r="J3" s="12">
        <v>0.50012920788864001</v>
      </c>
      <c r="K3" s="12">
        <v>0.47012145541532102</v>
      </c>
      <c r="L3" s="12">
        <v>0.23825809550975999</v>
      </c>
      <c r="M3" s="12">
        <v>0.20013680022819838</v>
      </c>
      <c r="N3" s="12">
        <v>3.1738703633599998</v>
      </c>
      <c r="O3" s="12">
        <v>2.9929597526484795</v>
      </c>
      <c r="P3" s="12" t="b">
        <v>1</v>
      </c>
      <c r="Q3" s="12" t="b">
        <v>0</v>
      </c>
      <c r="R3" s="12" t="b">
        <v>1</v>
      </c>
      <c r="S3" s="12" t="str">
        <f t="shared" ref="S3:S32" si="0">IF(OR(P3=FALSE,Q3=FALSE,R3=FALSE),"Violated","Satisfied")</f>
        <v>Violated</v>
      </c>
      <c r="T3" s="9">
        <v>1</v>
      </c>
      <c r="U3" s="9">
        <v>92000</v>
      </c>
      <c r="V3" s="9" t="s">
        <v>22</v>
      </c>
      <c r="W3" s="9">
        <v>204000</v>
      </c>
      <c r="X3" s="9" t="s">
        <v>22</v>
      </c>
      <c r="Y3" s="9">
        <f>W3-U3</f>
        <v>112000</v>
      </c>
      <c r="Z3" s="9" t="str">
        <f>IF(W3=U3,"equal",IF(W3&lt;U3,"Uniform","Non-Uniform"))</f>
        <v>Non-Uniform</v>
      </c>
      <c r="AA3" s="21">
        <f>(Y3*100)/U3</f>
        <v>121.73913043478261</v>
      </c>
      <c r="AB3" s="34"/>
      <c r="AC3" s="30">
        <v>64085.700000000004</v>
      </c>
      <c r="AD3" s="30">
        <v>7598.8</v>
      </c>
      <c r="AE3" s="30">
        <v>7883.2</v>
      </c>
      <c r="AF3" s="30">
        <v>12229.5</v>
      </c>
      <c r="AG3" s="9">
        <v>91797.2</v>
      </c>
      <c r="AH3" s="7"/>
      <c r="AI3" s="30">
        <v>50983.8</v>
      </c>
      <c r="AJ3" s="30">
        <v>50723.200000000004</v>
      </c>
      <c r="AK3" s="30">
        <v>50923.6</v>
      </c>
      <c r="AL3" s="30">
        <v>50952</v>
      </c>
      <c r="AM3" s="9">
        <v>203582.6</v>
      </c>
    </row>
    <row r="4" spans="1:39" x14ac:dyDescent="0.2">
      <c r="A4" s="12">
        <v>2</v>
      </c>
      <c r="B4" s="12">
        <v>0.85</v>
      </c>
      <c r="C4" s="12">
        <v>0.87</v>
      </c>
      <c r="D4" s="12">
        <v>0.88</v>
      </c>
      <c r="E4" s="12">
        <v>0.8</v>
      </c>
      <c r="F4" s="20">
        <v>3.7</v>
      </c>
      <c r="G4" s="20">
        <v>1.9</v>
      </c>
      <c r="H4" s="20">
        <v>4.0999999999999996</v>
      </c>
      <c r="I4" s="20">
        <v>2</v>
      </c>
      <c r="J4" s="12">
        <v>0.50580295644595197</v>
      </c>
      <c r="K4" s="12">
        <v>0.46533871993027498</v>
      </c>
      <c r="L4" s="12">
        <v>0.23925934525516801</v>
      </c>
      <c r="M4" s="12">
        <v>0.22251119108730599</v>
      </c>
      <c r="N4" s="12">
        <v>3.1888891027519999</v>
      </c>
      <c r="O4" s="12">
        <v>3.2158891219996799</v>
      </c>
      <c r="P4" s="12" t="b">
        <f t="shared" ref="P4:P6" si="1">IF(J4*1000&gt;K4*1000,TRUE,FALSE)</f>
        <v>1</v>
      </c>
      <c r="Q4" s="12" t="b">
        <f t="shared" ref="Q4:Q16" si="2">IF(L4*1000&lt;M4*1000,TRUE,FALSE)</f>
        <v>0</v>
      </c>
      <c r="R4" s="12" t="b">
        <f t="shared" ref="R4:R6" si="3">IF(N4*1000&gt;O4*1000,TRUE,FALSE)</f>
        <v>0</v>
      </c>
      <c r="S4" s="12" t="str">
        <f t="shared" si="0"/>
        <v>Violated</v>
      </c>
      <c r="T4" s="9">
        <v>2</v>
      </c>
      <c r="U4" s="9">
        <v>658000</v>
      </c>
      <c r="V4" s="9" t="s">
        <v>22</v>
      </c>
      <c r="W4" s="9">
        <v>1146000</v>
      </c>
      <c r="X4" s="9" t="s">
        <v>22</v>
      </c>
      <c r="Y4" s="42">
        <f t="shared" ref="Y4:Y32" si="4">W4-U4</f>
        <v>488000</v>
      </c>
      <c r="Z4" s="9" t="str">
        <f t="shared" ref="Z4:Z32" si="5">IF(W4=U4,"equal",IF(W4&lt;U4,"Uniform","Non-Uniform"))</f>
        <v>Non-Uniform</v>
      </c>
      <c r="AA4" s="21">
        <f t="shared" ref="AA4:AA32" si="6">(Y4*100)/U4</f>
        <v>74.164133738601819</v>
      </c>
      <c r="AB4" s="34"/>
      <c r="AC4" s="30">
        <v>444303.4</v>
      </c>
      <c r="AD4" s="30">
        <v>64620.899999999994</v>
      </c>
      <c r="AE4" s="30">
        <v>66370.799999999988</v>
      </c>
      <c r="AF4" s="30">
        <v>80622</v>
      </c>
      <c r="AG4" s="9">
        <v>655917.10000000009</v>
      </c>
      <c r="AH4" s="7"/>
      <c r="AI4" s="30">
        <v>286220.90000000002</v>
      </c>
      <c r="AJ4" s="30">
        <v>286331.89999999997</v>
      </c>
      <c r="AK4" s="30">
        <v>284273.5</v>
      </c>
      <c r="AL4" s="30">
        <v>286504</v>
      </c>
      <c r="AM4" s="9">
        <v>1143330.3</v>
      </c>
    </row>
    <row r="5" spans="1:39" x14ac:dyDescent="0.2">
      <c r="A5" s="12">
        <v>3</v>
      </c>
      <c r="B5" s="12">
        <v>0.88</v>
      </c>
      <c r="C5" s="12">
        <v>0.92</v>
      </c>
      <c r="D5" s="12">
        <v>0.83</v>
      </c>
      <c r="E5" s="12">
        <v>0.96</v>
      </c>
      <c r="F5" s="20">
        <v>2.7</v>
      </c>
      <c r="G5" s="20">
        <v>4.4000000000000004</v>
      </c>
      <c r="H5" s="20">
        <v>4.2</v>
      </c>
      <c r="I5" s="20">
        <v>4.4000000000000004</v>
      </c>
      <c r="J5" s="12">
        <v>0.64988082159242799</v>
      </c>
      <c r="K5" s="12">
        <f>J5*1.07</f>
        <v>0.69537247910389799</v>
      </c>
      <c r="L5" s="12">
        <v>0.20862011203533101</v>
      </c>
      <c r="M5" s="12">
        <f>L5*0.97</f>
        <v>0.20236150867427108</v>
      </c>
      <c r="N5" s="12">
        <v>3.3877714752546901</v>
      </c>
      <c r="O5" s="12">
        <v>3.4604263375327098</v>
      </c>
      <c r="P5" s="12" t="b">
        <f t="shared" si="1"/>
        <v>0</v>
      </c>
      <c r="Q5" s="12" t="b">
        <f t="shared" si="2"/>
        <v>0</v>
      </c>
      <c r="R5" s="12" t="b">
        <f t="shared" si="3"/>
        <v>0</v>
      </c>
      <c r="S5" s="12" t="str">
        <f t="shared" si="0"/>
        <v>Violated</v>
      </c>
      <c r="T5" s="9">
        <v>3</v>
      </c>
      <c r="U5" s="9">
        <v>388000</v>
      </c>
      <c r="V5" s="9" t="s">
        <v>22</v>
      </c>
      <c r="W5" s="9">
        <v>424000</v>
      </c>
      <c r="X5" s="9" t="s">
        <v>22</v>
      </c>
      <c r="Y5" s="42">
        <f t="shared" si="4"/>
        <v>36000</v>
      </c>
      <c r="Z5" s="9" t="str">
        <f t="shared" si="5"/>
        <v>Non-Uniform</v>
      </c>
      <c r="AA5" s="21">
        <f t="shared" si="6"/>
        <v>9.2783505154639183</v>
      </c>
      <c r="AB5" s="34"/>
      <c r="AC5" s="30">
        <v>221173.2</v>
      </c>
      <c r="AD5" s="30">
        <v>46886.400000000001</v>
      </c>
      <c r="AE5" s="30">
        <v>48652.800000000003</v>
      </c>
      <c r="AF5" s="30">
        <v>70096.400000000009</v>
      </c>
      <c r="AG5" s="9">
        <v>386808.80000000005</v>
      </c>
      <c r="AH5" s="7"/>
      <c r="AI5" s="30">
        <v>105899.40000000001</v>
      </c>
      <c r="AJ5" s="30">
        <v>105415.20000000001</v>
      </c>
      <c r="AK5" s="30">
        <v>105966</v>
      </c>
      <c r="AL5" s="30">
        <v>105415.20000000001</v>
      </c>
      <c r="AM5" s="9">
        <v>422695.80000000005</v>
      </c>
    </row>
    <row r="6" spans="1:39" x14ac:dyDescent="0.2">
      <c r="A6" s="12">
        <v>4</v>
      </c>
      <c r="B6" s="12">
        <v>0.97</v>
      </c>
      <c r="C6" s="12">
        <v>0.81</v>
      </c>
      <c r="D6" s="12">
        <v>0.91</v>
      </c>
      <c r="E6" s="12">
        <v>0.82</v>
      </c>
      <c r="F6" s="20">
        <v>2.2000000000000002</v>
      </c>
      <c r="G6" s="20">
        <v>3.3</v>
      </c>
      <c r="H6" s="20">
        <v>2.7</v>
      </c>
      <c r="I6" s="20">
        <v>4.3</v>
      </c>
      <c r="J6" s="12">
        <v>0.66423159016123001</v>
      </c>
      <c r="K6" s="12">
        <f>J6*0.85</f>
        <v>0.56459685163704554</v>
      </c>
      <c r="L6" s="12">
        <v>5.0543245056532897E-2</v>
      </c>
      <c r="M6" s="12">
        <v>5.6754109957663501E-2</v>
      </c>
      <c r="N6" s="12">
        <v>3.4898648510276198</v>
      </c>
      <c r="O6" s="12">
        <v>3.3502702569865099</v>
      </c>
      <c r="P6" s="12" t="b">
        <f t="shared" si="1"/>
        <v>1</v>
      </c>
      <c r="Q6" s="12" t="b">
        <f t="shared" si="2"/>
        <v>1</v>
      </c>
      <c r="R6" s="12" t="b">
        <f t="shared" si="3"/>
        <v>1</v>
      </c>
      <c r="S6" s="12" t="str">
        <f t="shared" si="0"/>
        <v>Satisfied</v>
      </c>
      <c r="T6" s="9">
        <v>4</v>
      </c>
      <c r="U6" s="9">
        <v>978000</v>
      </c>
      <c r="V6" s="9" t="s">
        <v>23</v>
      </c>
      <c r="W6" s="9">
        <v>130000</v>
      </c>
      <c r="X6" s="9" t="s">
        <v>23</v>
      </c>
      <c r="Y6" s="42">
        <f t="shared" si="4"/>
        <v>-848000</v>
      </c>
      <c r="Z6" s="9" t="str">
        <f t="shared" si="5"/>
        <v>Uniform</v>
      </c>
      <c r="AA6" s="21">
        <f t="shared" si="6"/>
        <v>-86.707566462167691</v>
      </c>
      <c r="AB6" s="34"/>
      <c r="AC6" s="30">
        <v>902261.8</v>
      </c>
      <c r="AD6" s="30">
        <v>21337.8</v>
      </c>
      <c r="AE6" s="30">
        <v>22072.5</v>
      </c>
      <c r="AF6" s="30">
        <v>29730.199999999997</v>
      </c>
      <c r="AG6" s="9">
        <v>975402.3</v>
      </c>
      <c r="AH6" s="7"/>
      <c r="AI6" s="30">
        <v>32465.4</v>
      </c>
      <c r="AJ6" s="30">
        <v>32396.1</v>
      </c>
      <c r="AK6" s="30">
        <v>32472.9</v>
      </c>
      <c r="AL6" s="30">
        <v>32430.6</v>
      </c>
      <c r="AM6" s="9">
        <v>129765</v>
      </c>
    </row>
    <row r="7" spans="1:39" x14ac:dyDescent="0.2">
      <c r="A7" s="12">
        <v>5</v>
      </c>
      <c r="B7" s="12">
        <v>0.98</v>
      </c>
      <c r="C7" s="12">
        <v>0.88</v>
      </c>
      <c r="D7" s="12">
        <v>0.83</v>
      </c>
      <c r="E7" s="12">
        <v>0.81</v>
      </c>
      <c r="F7" s="20">
        <v>3.3</v>
      </c>
      <c r="G7" s="20">
        <v>4.7</v>
      </c>
      <c r="H7" s="20">
        <v>3.6</v>
      </c>
      <c r="I7" s="20">
        <v>2.5</v>
      </c>
      <c r="J7" s="12">
        <v>0.66476729842624005</v>
      </c>
      <c r="K7" s="12">
        <v>0.644824279473452</v>
      </c>
      <c r="L7" s="12">
        <v>3.3566679559719197E-2</v>
      </c>
      <c r="M7" s="12">
        <f>L7*1.9</f>
        <v>6.3776691163466473E-2</v>
      </c>
      <c r="N7" s="12">
        <v>3.49578211050048</v>
      </c>
      <c r="O7" s="12">
        <v>3.5899650692855598</v>
      </c>
      <c r="P7" s="12" t="b">
        <f t="shared" ref="P7:P16" si="7">IF(J7*1000&gt;K7*1000,TRUE,FALSE)</f>
        <v>1</v>
      </c>
      <c r="Q7" s="12" t="b">
        <f t="shared" si="2"/>
        <v>1</v>
      </c>
      <c r="R7" s="12" t="b">
        <f t="shared" ref="R7:R16" si="8">IF(N7*1000&gt;O7*1000,TRUE,FALSE)</f>
        <v>0</v>
      </c>
      <c r="S7" s="12" t="str">
        <f t="shared" si="0"/>
        <v>Violated</v>
      </c>
      <c r="T7" s="9">
        <v>5</v>
      </c>
      <c r="U7" s="9">
        <v>324000</v>
      </c>
      <c r="V7" s="9" t="s">
        <v>22</v>
      </c>
      <c r="W7" s="9">
        <v>238000</v>
      </c>
      <c r="X7" s="9" t="s">
        <v>22</v>
      </c>
      <c r="Y7" s="42">
        <f t="shared" si="4"/>
        <v>-86000</v>
      </c>
      <c r="Z7" s="9" t="str">
        <f t="shared" si="5"/>
        <v>Uniform</v>
      </c>
      <c r="AA7" s="21">
        <f t="shared" si="6"/>
        <v>-26.543209876543209</v>
      </c>
      <c r="AB7" s="34"/>
      <c r="AC7" s="30">
        <v>159894.9</v>
      </c>
      <c r="AD7" s="30">
        <v>50294.700000000004</v>
      </c>
      <c r="AE7" s="30">
        <v>52430.400000000001</v>
      </c>
      <c r="AF7" s="30">
        <v>60185</v>
      </c>
      <c r="AG7" s="9">
        <v>322805</v>
      </c>
      <c r="AH7" s="7"/>
      <c r="AI7" s="30">
        <v>59304.299999999996</v>
      </c>
      <c r="AJ7" s="30">
        <v>59295.200000000004</v>
      </c>
      <c r="AK7" s="30">
        <v>59126.400000000001</v>
      </c>
      <c r="AL7" s="30">
        <v>59505</v>
      </c>
      <c r="AM7" s="9">
        <v>237230.9</v>
      </c>
    </row>
    <row r="8" spans="1:39" x14ac:dyDescent="0.2">
      <c r="A8" s="12">
        <v>6</v>
      </c>
      <c r="B8" s="12">
        <v>0.94</v>
      </c>
      <c r="C8" s="12">
        <v>0.98</v>
      </c>
      <c r="D8" s="12">
        <v>0.91</v>
      </c>
      <c r="E8" s="12">
        <v>0.88</v>
      </c>
      <c r="F8" s="20">
        <v>3.3</v>
      </c>
      <c r="G8" s="20">
        <v>4.3</v>
      </c>
      <c r="H8" s="20">
        <v>3</v>
      </c>
      <c r="I8" s="20">
        <v>4.7</v>
      </c>
      <c r="J8" s="12">
        <v>0.73430124419284004</v>
      </c>
      <c r="K8" s="12">
        <v>0.66821413221548398</v>
      </c>
      <c r="L8" s="12">
        <v>0.106870292182521</v>
      </c>
      <c r="M8" s="12">
        <f>L8*0.89</f>
        <v>9.5114560042443688E-2</v>
      </c>
      <c r="N8" s="12">
        <v>3.60886512027349</v>
      </c>
      <c r="O8" s="12">
        <v>3.4645105154625502</v>
      </c>
      <c r="P8" s="12" t="b">
        <f t="shared" si="7"/>
        <v>1</v>
      </c>
      <c r="Q8" s="12" t="b">
        <f t="shared" si="2"/>
        <v>0</v>
      </c>
      <c r="R8" s="12" t="b">
        <f t="shared" si="8"/>
        <v>1</v>
      </c>
      <c r="S8" s="12" t="str">
        <f t="shared" si="0"/>
        <v>Violated</v>
      </c>
      <c r="T8" s="9">
        <v>6</v>
      </c>
      <c r="U8" s="9">
        <v>866000</v>
      </c>
      <c r="V8" s="9" t="s">
        <v>22</v>
      </c>
      <c r="W8" s="9">
        <v>1944000</v>
      </c>
      <c r="X8" s="9" t="s">
        <v>22</v>
      </c>
      <c r="Y8" s="42">
        <f t="shared" si="4"/>
        <v>1078000</v>
      </c>
      <c r="Z8" s="9" t="str">
        <f t="shared" si="5"/>
        <v>Non-Uniform</v>
      </c>
      <c r="AA8" s="21">
        <f t="shared" si="6"/>
        <v>124.48036951501155</v>
      </c>
      <c r="AB8" s="34"/>
      <c r="AC8" s="30">
        <v>764933.39999999991</v>
      </c>
      <c r="AD8" s="30">
        <v>25378.6</v>
      </c>
      <c r="AE8" s="30">
        <v>26448</v>
      </c>
      <c r="AF8" s="30">
        <v>47455.9</v>
      </c>
      <c r="AG8" s="9">
        <v>864215.89999999991</v>
      </c>
      <c r="AH8" s="7"/>
      <c r="AI8" s="30">
        <v>484354.19999999995</v>
      </c>
      <c r="AJ8" s="30">
        <v>484842.19999999995</v>
      </c>
      <c r="AK8" s="30">
        <v>484062</v>
      </c>
      <c r="AL8" s="30">
        <v>484259.80000000005</v>
      </c>
      <c r="AM8" s="9">
        <v>1937518.2</v>
      </c>
    </row>
    <row r="9" spans="1:39" x14ac:dyDescent="0.2">
      <c r="A9" s="12">
        <v>7</v>
      </c>
      <c r="B9" s="12">
        <v>0.82</v>
      </c>
      <c r="C9" s="12">
        <v>0.93</v>
      </c>
      <c r="D9" s="12">
        <v>0.8</v>
      </c>
      <c r="E9" s="12">
        <v>0.95</v>
      </c>
      <c r="F9" s="20">
        <v>3.7</v>
      </c>
      <c r="G9" s="20">
        <v>1.9</v>
      </c>
      <c r="H9" s="20">
        <v>2.2999999999999998</v>
      </c>
      <c r="I9" s="20">
        <v>4.5</v>
      </c>
      <c r="J9" s="12">
        <v>0.55178127140588096</v>
      </c>
      <c r="K9" s="12">
        <v>0.63454846211676297</v>
      </c>
      <c r="L9" s="12">
        <v>0.30112271811348601</v>
      </c>
      <c r="M9" s="12">
        <v>0.30714517247575501</v>
      </c>
      <c r="N9" s="12">
        <v>3.2012228254332902</v>
      </c>
      <c r="O9" s="12">
        <v>3.4014062492482902</v>
      </c>
      <c r="P9" s="12" t="b">
        <f t="shared" si="7"/>
        <v>0</v>
      </c>
      <c r="Q9" s="12" t="b">
        <f t="shared" si="2"/>
        <v>1</v>
      </c>
      <c r="R9" s="12" t="b">
        <f t="shared" si="8"/>
        <v>0</v>
      </c>
      <c r="S9" s="12" t="str">
        <f t="shared" si="0"/>
        <v>Violated</v>
      </c>
      <c r="T9" s="9">
        <v>7</v>
      </c>
      <c r="U9" s="9">
        <v>68000</v>
      </c>
      <c r="V9" s="9" t="s">
        <v>22</v>
      </c>
      <c r="W9" s="9">
        <v>76000</v>
      </c>
      <c r="X9" s="9" t="s">
        <v>22</v>
      </c>
      <c r="Y9" s="42">
        <f t="shared" si="4"/>
        <v>8000</v>
      </c>
      <c r="Z9" s="9" t="str">
        <f t="shared" si="5"/>
        <v>Non-Uniform</v>
      </c>
      <c r="AA9" s="21">
        <f t="shared" si="6"/>
        <v>11.764705882352942</v>
      </c>
      <c r="AB9" s="34"/>
      <c r="AC9" s="30">
        <v>41406.700000000004</v>
      </c>
      <c r="AD9" s="30">
        <v>8428.4</v>
      </c>
      <c r="AE9" s="30">
        <v>8712.4</v>
      </c>
      <c r="AF9" s="30">
        <v>9292.5</v>
      </c>
      <c r="AG9" s="9">
        <v>67840</v>
      </c>
      <c r="AH9" s="7"/>
      <c r="AI9" s="30">
        <v>18988.400000000001</v>
      </c>
      <c r="AJ9" s="30">
        <v>18992.399999999998</v>
      </c>
      <c r="AK9" s="30">
        <v>18970.399999999998</v>
      </c>
      <c r="AL9" s="30">
        <v>18990</v>
      </c>
      <c r="AM9" s="9">
        <v>75941.2</v>
      </c>
    </row>
    <row r="10" spans="1:39" x14ac:dyDescent="0.2">
      <c r="A10" s="12">
        <v>8</v>
      </c>
      <c r="B10" s="12">
        <v>0.85</v>
      </c>
      <c r="C10" s="12">
        <v>0.86</v>
      </c>
      <c r="D10" s="12">
        <v>0.93</v>
      </c>
      <c r="E10" s="12">
        <v>0.88</v>
      </c>
      <c r="F10" s="20">
        <v>4.0999999999999996</v>
      </c>
      <c r="G10" s="20">
        <v>1.8</v>
      </c>
      <c r="H10" s="20">
        <v>1.9</v>
      </c>
      <c r="I10" s="20">
        <v>4.5</v>
      </c>
      <c r="J10" s="12">
        <v>0.56944987127170499</v>
      </c>
      <c r="K10" s="12">
        <v>0.53528287899540306</v>
      </c>
      <c r="L10" s="12">
        <v>0.25049115375383002</v>
      </c>
      <c r="M10" s="12">
        <v>0.23295677299106199</v>
      </c>
      <c r="N10" s="12">
        <v>3.2812364615948799</v>
      </c>
      <c r="O10" s="12">
        <v>3.4234219308341101</v>
      </c>
      <c r="P10" s="12" t="b">
        <f t="shared" si="7"/>
        <v>1</v>
      </c>
      <c r="Q10" s="12" t="b">
        <f t="shared" si="2"/>
        <v>0</v>
      </c>
      <c r="R10" s="12" t="b">
        <f t="shared" si="8"/>
        <v>0</v>
      </c>
      <c r="S10" s="12" t="str">
        <f t="shared" si="0"/>
        <v>Violated</v>
      </c>
      <c r="T10" s="9">
        <v>8</v>
      </c>
      <c r="U10" s="9">
        <v>124000</v>
      </c>
      <c r="V10" s="9" t="s">
        <v>22</v>
      </c>
      <c r="W10" s="9">
        <v>144000</v>
      </c>
      <c r="X10" s="9" t="s">
        <v>22</v>
      </c>
      <c r="Y10" s="42">
        <f t="shared" si="4"/>
        <v>20000</v>
      </c>
      <c r="Z10" s="9" t="str">
        <f t="shared" si="5"/>
        <v>Non-Uniform</v>
      </c>
      <c r="AA10" s="21">
        <f t="shared" si="6"/>
        <v>16.129032258064516</v>
      </c>
      <c r="AB10" s="34"/>
      <c r="AC10" s="30">
        <v>72451.099999999991</v>
      </c>
      <c r="AD10" s="30">
        <v>15622.2</v>
      </c>
      <c r="AE10" s="30">
        <v>16188</v>
      </c>
      <c r="AF10" s="30">
        <v>19399.5</v>
      </c>
      <c r="AG10" s="9">
        <v>123660.79999999999</v>
      </c>
      <c r="AH10" s="7"/>
      <c r="AI10" s="30">
        <v>35727.399999999994</v>
      </c>
      <c r="AJ10" s="30">
        <v>35902.800000000003</v>
      </c>
      <c r="AK10" s="30">
        <v>35982.199999999997</v>
      </c>
      <c r="AL10" s="30">
        <v>35973</v>
      </c>
      <c r="AM10" s="9">
        <v>143585.4</v>
      </c>
    </row>
    <row r="11" spans="1:39" x14ac:dyDescent="0.2">
      <c r="A11" s="12">
        <v>9</v>
      </c>
      <c r="B11" s="12">
        <v>0.87</v>
      </c>
      <c r="C11" s="12">
        <v>0.8</v>
      </c>
      <c r="D11" s="12">
        <v>0.88</v>
      </c>
      <c r="E11" s="12">
        <v>0.98</v>
      </c>
      <c r="F11" s="20">
        <v>5</v>
      </c>
      <c r="G11" s="20">
        <v>3.5</v>
      </c>
      <c r="H11" s="20">
        <v>2.2999999999999998</v>
      </c>
      <c r="I11" s="20">
        <v>4.4000000000000004</v>
      </c>
      <c r="J11" s="12">
        <v>0.62362528340565904</v>
      </c>
      <c r="K11" s="12">
        <f>J11*0.88</f>
        <v>0.54879024939697996</v>
      </c>
      <c r="L11" s="12">
        <v>0.223185387175558</v>
      </c>
      <c r="M11" s="12">
        <v>0.234344656534336</v>
      </c>
      <c r="N11" s="12">
        <v>3.3182488760880098</v>
      </c>
      <c r="O11" s="12">
        <v>3.1855189210444901</v>
      </c>
      <c r="P11" s="12" t="b">
        <f t="shared" si="7"/>
        <v>1</v>
      </c>
      <c r="Q11" s="12" t="b">
        <f t="shared" si="2"/>
        <v>1</v>
      </c>
      <c r="R11" s="12" t="b">
        <f t="shared" si="8"/>
        <v>1</v>
      </c>
      <c r="S11" s="12" t="str">
        <f t="shared" si="0"/>
        <v>Satisfied</v>
      </c>
      <c r="T11" s="9">
        <v>9</v>
      </c>
      <c r="U11" s="9">
        <v>840000</v>
      </c>
      <c r="V11" s="9" t="s">
        <v>23</v>
      </c>
      <c r="W11" s="9">
        <v>3000000</v>
      </c>
      <c r="X11" s="9" t="s">
        <v>39</v>
      </c>
      <c r="Y11" s="42">
        <f t="shared" si="4"/>
        <v>2160000</v>
      </c>
      <c r="Z11" s="9" t="str">
        <f t="shared" si="5"/>
        <v>Non-Uniform</v>
      </c>
      <c r="AA11" s="21">
        <f t="shared" si="6"/>
        <v>257.14285714285717</v>
      </c>
      <c r="AB11" s="34"/>
      <c r="AC11" s="30">
        <v>696835</v>
      </c>
      <c r="AD11" s="30">
        <v>40817</v>
      </c>
      <c r="AE11" s="30">
        <v>42469.5</v>
      </c>
      <c r="AF11" s="30">
        <v>57054.8</v>
      </c>
      <c r="AG11" s="9">
        <v>837176.3</v>
      </c>
      <c r="AH11" s="7"/>
      <c r="AI11" s="30">
        <v>749510</v>
      </c>
      <c r="AJ11" s="30">
        <v>745010</v>
      </c>
      <c r="AK11" s="30">
        <v>748155.5</v>
      </c>
      <c r="AL11" s="30">
        <v>745311.60000000009</v>
      </c>
      <c r="AM11" s="9">
        <v>2987987.1</v>
      </c>
    </row>
    <row r="12" spans="1:39" x14ac:dyDescent="0.2">
      <c r="A12" s="12">
        <v>10</v>
      </c>
      <c r="B12" s="12">
        <v>0.84</v>
      </c>
      <c r="C12" s="12">
        <v>0.84</v>
      </c>
      <c r="D12" s="12">
        <v>0.87</v>
      </c>
      <c r="E12" s="12">
        <v>0.94</v>
      </c>
      <c r="F12" s="20">
        <v>4.9000000000000004</v>
      </c>
      <c r="G12" s="20">
        <v>2.1</v>
      </c>
      <c r="H12" s="20">
        <v>5</v>
      </c>
      <c r="I12" s="20">
        <v>4.3</v>
      </c>
      <c r="J12" s="12">
        <v>0.56727341573857204</v>
      </c>
      <c r="K12" s="12">
        <f>J12*1.036</f>
        <v>0.58769525870516071</v>
      </c>
      <c r="L12" s="12">
        <v>0.26805207918829899</v>
      </c>
      <c r="M12" s="12">
        <v>0.289496245523363</v>
      </c>
      <c r="N12" s="12">
        <v>3.2337556903111899</v>
      </c>
      <c r="O12" s="12">
        <f>N12*0.9233</f>
        <v>2.9857266288643216</v>
      </c>
      <c r="P12" s="12" t="b">
        <f t="shared" si="7"/>
        <v>0</v>
      </c>
      <c r="Q12" s="12" t="b">
        <f t="shared" si="2"/>
        <v>1</v>
      </c>
      <c r="R12" s="12" t="b">
        <f t="shared" si="8"/>
        <v>1</v>
      </c>
      <c r="S12" s="12" t="str">
        <f t="shared" si="0"/>
        <v>Violated</v>
      </c>
      <c r="T12" s="9">
        <v>10</v>
      </c>
      <c r="U12" s="9">
        <v>1170000</v>
      </c>
      <c r="V12" s="29" t="s">
        <v>23</v>
      </c>
      <c r="W12" s="9">
        <v>3000000</v>
      </c>
      <c r="X12" s="9" t="s">
        <v>39</v>
      </c>
      <c r="Y12" s="42">
        <f t="shared" si="4"/>
        <v>1830000</v>
      </c>
      <c r="Z12" s="9" t="str">
        <f t="shared" si="5"/>
        <v>Non-Uniform</v>
      </c>
      <c r="AA12" s="21">
        <f t="shared" si="6"/>
        <v>156.41025641025641</v>
      </c>
      <c r="AB12" s="34"/>
      <c r="AC12" s="30">
        <v>671613.60000000009</v>
      </c>
      <c r="AD12" s="30">
        <v>127260</v>
      </c>
      <c r="AE12" s="30">
        <v>131185</v>
      </c>
      <c r="AF12" s="30">
        <v>235377.69999999998</v>
      </c>
      <c r="AG12" s="9">
        <v>1165436.3</v>
      </c>
      <c r="AH12" s="7"/>
      <c r="AI12" s="30">
        <v>749210</v>
      </c>
      <c r="AJ12" s="30">
        <v>749204.4</v>
      </c>
      <c r="AK12" s="30">
        <v>749510</v>
      </c>
      <c r="AL12" s="30">
        <v>747709.79999999993</v>
      </c>
      <c r="AM12" s="9">
        <v>2995634.1999999997</v>
      </c>
    </row>
    <row r="13" spans="1:39" x14ac:dyDescent="0.2">
      <c r="A13" s="12">
        <v>11</v>
      </c>
      <c r="B13" s="12">
        <v>0.83</v>
      </c>
      <c r="C13" s="12">
        <v>0.92</v>
      </c>
      <c r="D13" s="12">
        <v>0.86</v>
      </c>
      <c r="E13" s="12">
        <v>0.87</v>
      </c>
      <c r="F13" s="20">
        <v>1.1000000000000001</v>
      </c>
      <c r="G13" s="20">
        <v>2.1</v>
      </c>
      <c r="H13" s="20">
        <v>4.8</v>
      </c>
      <c r="I13" s="20">
        <v>1.5</v>
      </c>
      <c r="J13" s="12">
        <v>0.53308457393859299</v>
      </c>
      <c r="K13" s="12">
        <f>J13*0.87</f>
        <v>0.46378357932657588</v>
      </c>
      <c r="L13" s="12">
        <v>0.27918599707176001</v>
      </c>
      <c r="M13" s="12">
        <v>0.31827203666180598</v>
      </c>
      <c r="N13" s="12">
        <v>3.21051148211891</v>
      </c>
      <c r="O13" s="12">
        <v>3.3340319414036599</v>
      </c>
      <c r="P13" s="12" t="b">
        <f t="shared" si="7"/>
        <v>1</v>
      </c>
      <c r="Q13" s="12" t="b">
        <f t="shared" si="2"/>
        <v>1</v>
      </c>
      <c r="R13" s="12" t="b">
        <f t="shared" si="8"/>
        <v>0</v>
      </c>
      <c r="S13" s="12" t="str">
        <f t="shared" si="0"/>
        <v>Violated</v>
      </c>
      <c r="T13" s="9">
        <v>11</v>
      </c>
      <c r="U13" s="9">
        <v>102000</v>
      </c>
      <c r="V13" s="9" t="s">
        <v>22</v>
      </c>
      <c r="W13" s="9">
        <v>98000</v>
      </c>
      <c r="X13" s="9" t="s">
        <v>22</v>
      </c>
      <c r="Y13" s="42">
        <f t="shared" si="4"/>
        <v>-4000</v>
      </c>
      <c r="Z13" s="9" t="str">
        <f t="shared" si="5"/>
        <v>Uniform</v>
      </c>
      <c r="AA13" s="21">
        <f t="shared" si="6"/>
        <v>-3.9215686274509802</v>
      </c>
      <c r="AB13" s="34"/>
      <c r="AC13" s="30">
        <v>58077.8</v>
      </c>
      <c r="AD13" s="30">
        <v>13725.6</v>
      </c>
      <c r="AE13" s="30">
        <v>14184</v>
      </c>
      <c r="AF13" s="30">
        <v>15805.5</v>
      </c>
      <c r="AG13" s="9">
        <v>101792.90000000001</v>
      </c>
      <c r="AH13" s="7"/>
      <c r="AI13" s="30">
        <v>24472.800000000003</v>
      </c>
      <c r="AJ13" s="30">
        <v>24494.400000000001</v>
      </c>
      <c r="AK13" s="30">
        <v>24470.399999999998</v>
      </c>
      <c r="AL13" s="30">
        <v>24478.5</v>
      </c>
      <c r="AM13" s="9">
        <v>97916.1</v>
      </c>
    </row>
    <row r="14" spans="1:39" x14ac:dyDescent="0.2">
      <c r="A14" s="12">
        <v>12</v>
      </c>
      <c r="B14" s="12">
        <v>0.98</v>
      </c>
      <c r="C14" s="12">
        <v>0.93</v>
      </c>
      <c r="D14" s="12">
        <v>0.88</v>
      </c>
      <c r="E14" s="12">
        <v>0.82</v>
      </c>
      <c r="F14" s="20">
        <v>3.8</v>
      </c>
      <c r="G14" s="20">
        <v>4.5</v>
      </c>
      <c r="H14" s="20">
        <v>2.5</v>
      </c>
      <c r="I14" s="20">
        <v>4.2</v>
      </c>
      <c r="J14" s="12">
        <v>0.71235068900604803</v>
      </c>
      <c r="K14" s="12">
        <v>0.67673315455574601</v>
      </c>
      <c r="L14" s="12">
        <v>3.4537769163388701E-2</v>
      </c>
      <c r="M14" s="12">
        <v>3.7300790696459897E-2</v>
      </c>
      <c r="N14" s="12">
        <v>3.5933365098165599</v>
      </c>
      <c r="O14" s="12">
        <f>N14*0.88</f>
        <v>3.162136128638573</v>
      </c>
      <c r="P14" s="12" t="b">
        <f t="shared" si="7"/>
        <v>1</v>
      </c>
      <c r="Q14" s="12" t="b">
        <f t="shared" si="2"/>
        <v>1</v>
      </c>
      <c r="R14" s="12" t="b">
        <f t="shared" si="8"/>
        <v>1</v>
      </c>
      <c r="S14" s="12" t="str">
        <f t="shared" si="0"/>
        <v>Satisfied</v>
      </c>
      <c r="T14" s="32">
        <v>12</v>
      </c>
      <c r="U14" s="32">
        <v>3480000</v>
      </c>
      <c r="V14" s="32" t="s">
        <v>23</v>
      </c>
      <c r="W14" s="32">
        <v>5000000</v>
      </c>
      <c r="X14" s="32" t="s">
        <v>39</v>
      </c>
      <c r="Y14" s="32">
        <f t="shared" si="4"/>
        <v>1520000</v>
      </c>
      <c r="Z14" s="32" t="str">
        <f t="shared" si="5"/>
        <v>Non-Uniform</v>
      </c>
      <c r="AA14" s="33">
        <f t="shared" si="6"/>
        <v>43.678160919540232</v>
      </c>
      <c r="AB14" s="34"/>
      <c r="AC14" s="30">
        <v>3100135</v>
      </c>
      <c r="AD14" s="30">
        <v>89208</v>
      </c>
      <c r="AE14" s="30">
        <v>92795</v>
      </c>
      <c r="AF14" s="30">
        <v>196459.2</v>
      </c>
      <c r="AG14" s="9">
        <v>3478597.2</v>
      </c>
      <c r="AH14" s="7"/>
      <c r="AI14" s="30">
        <v>1244260.5999999999</v>
      </c>
      <c r="AJ14" s="30">
        <v>1244884.5</v>
      </c>
      <c r="AK14" s="30">
        <v>1245005</v>
      </c>
      <c r="AL14" s="30">
        <v>1244510.4000000001</v>
      </c>
      <c r="AM14" s="9">
        <v>4978660.5</v>
      </c>
    </row>
    <row r="15" spans="1:39" x14ac:dyDescent="0.2">
      <c r="A15" s="12">
        <v>13</v>
      </c>
      <c r="B15" s="12">
        <v>0.96</v>
      </c>
      <c r="C15" s="12">
        <v>0.91</v>
      </c>
      <c r="D15" s="12">
        <v>0.85</v>
      </c>
      <c r="E15" s="12">
        <v>0.83</v>
      </c>
      <c r="F15" s="20">
        <v>4.2</v>
      </c>
      <c r="G15" s="20">
        <v>1.1000000000000001</v>
      </c>
      <c r="H15" s="20">
        <v>4.5999999999999996</v>
      </c>
      <c r="I15" s="20">
        <v>2.7</v>
      </c>
      <c r="J15" s="12">
        <v>0.67271458259526795</v>
      </c>
      <c r="K15" s="12">
        <f>J15*1.085</f>
        <v>0.72989532211586572</v>
      </c>
      <c r="L15" s="12">
        <v>6.8029774274802904E-2</v>
      </c>
      <c r="M15" s="12">
        <v>6.1907094590070599E-2</v>
      </c>
      <c r="N15" s="12">
        <v>3.5050134214031901</v>
      </c>
      <c r="O15" s="12">
        <v>3.1651207926286999</v>
      </c>
      <c r="P15" s="12" t="b">
        <f t="shared" si="7"/>
        <v>0</v>
      </c>
      <c r="Q15" s="12" t="b">
        <f t="shared" si="2"/>
        <v>0</v>
      </c>
      <c r="R15" s="12" t="b">
        <f t="shared" si="8"/>
        <v>1</v>
      </c>
      <c r="S15" s="12" t="str">
        <f t="shared" si="0"/>
        <v>Violated</v>
      </c>
      <c r="T15" s="9">
        <v>13</v>
      </c>
      <c r="U15" s="9">
        <v>316000</v>
      </c>
      <c r="V15" s="9" t="s">
        <v>22</v>
      </c>
      <c r="W15" s="9">
        <v>250000</v>
      </c>
      <c r="X15" s="9" t="s">
        <v>22</v>
      </c>
      <c r="Y15" s="42">
        <f t="shared" si="4"/>
        <v>-66000</v>
      </c>
      <c r="Z15" s="9" t="str">
        <f t="shared" si="5"/>
        <v>Uniform</v>
      </c>
      <c r="AA15" s="21">
        <f t="shared" si="6"/>
        <v>-20.88607594936709</v>
      </c>
      <c r="AB15" s="34"/>
      <c r="AC15" s="30">
        <v>199122</v>
      </c>
      <c r="AD15" s="30">
        <v>28045.600000000002</v>
      </c>
      <c r="AE15" s="30">
        <v>28722.399999999998</v>
      </c>
      <c r="AF15" s="30">
        <v>59116.500000000007</v>
      </c>
      <c r="AG15" s="9">
        <v>315006.5</v>
      </c>
      <c r="AH15" s="7"/>
      <c r="AI15" s="30">
        <v>62483.4</v>
      </c>
      <c r="AJ15" s="30">
        <v>62427.200000000004</v>
      </c>
      <c r="AK15" s="30">
        <v>62109.2</v>
      </c>
      <c r="AL15" s="30">
        <v>62442.9</v>
      </c>
      <c r="AM15" s="9">
        <v>249462.69999999998</v>
      </c>
    </row>
    <row r="16" spans="1:39" x14ac:dyDescent="0.2">
      <c r="A16" s="12">
        <v>14</v>
      </c>
      <c r="B16" s="12">
        <v>0.83</v>
      </c>
      <c r="C16" s="12">
        <v>0.86</v>
      </c>
      <c r="D16" s="12">
        <v>0.84</v>
      </c>
      <c r="E16" s="12">
        <v>0.92</v>
      </c>
      <c r="F16" s="20">
        <v>4.2</v>
      </c>
      <c r="G16" s="20">
        <v>1.2</v>
      </c>
      <c r="H16" s="20">
        <v>1.6</v>
      </c>
      <c r="I16" s="20">
        <v>3.6</v>
      </c>
      <c r="J16" s="12">
        <v>0.538603116094303</v>
      </c>
      <c r="K16" s="12">
        <v>0.646323739313163</v>
      </c>
      <c r="L16" s="12">
        <v>0.280316300886785</v>
      </c>
      <c r="M16" s="12">
        <v>0.34759221309961302</v>
      </c>
      <c r="N16" s="12">
        <v>3.18426547164042</v>
      </c>
      <c r="O16" s="12">
        <v>3.32677069144626</v>
      </c>
      <c r="P16" s="12" t="b">
        <f t="shared" si="7"/>
        <v>0</v>
      </c>
      <c r="Q16" s="12" t="b">
        <f t="shared" si="2"/>
        <v>1</v>
      </c>
      <c r="R16" s="12" t="b">
        <f t="shared" si="8"/>
        <v>0</v>
      </c>
      <c r="S16" s="12" t="str">
        <f t="shared" si="0"/>
        <v>Violated</v>
      </c>
      <c r="T16" s="9">
        <v>14</v>
      </c>
      <c r="U16" s="9">
        <v>58000</v>
      </c>
      <c r="V16" s="9" t="s">
        <v>22</v>
      </c>
      <c r="W16" s="9">
        <v>88000</v>
      </c>
      <c r="X16" s="9" t="s">
        <v>22</v>
      </c>
      <c r="Y16" s="42">
        <f t="shared" si="4"/>
        <v>30000</v>
      </c>
      <c r="Z16" s="9" t="str">
        <f>IF(W16=U16,"equal",IF(W16&lt;U16,"Uniform","Non-Uniform"))</f>
        <v>Non-Uniform</v>
      </c>
      <c r="AA16" s="21">
        <f>(Y16*100)/U16</f>
        <v>51.724137931034484</v>
      </c>
      <c r="AB16" s="34"/>
      <c r="AC16" s="30">
        <v>32104.800000000003</v>
      </c>
      <c r="AD16" s="30">
        <v>7353.5999999999995</v>
      </c>
      <c r="AE16" s="30">
        <v>7601.6</v>
      </c>
      <c r="AF16" s="30">
        <v>10800</v>
      </c>
      <c r="AG16" s="9">
        <v>57860</v>
      </c>
      <c r="AH16" s="7"/>
      <c r="AI16" s="30">
        <v>21999.600000000002</v>
      </c>
      <c r="AJ16" s="30">
        <v>21967.200000000001</v>
      </c>
      <c r="AK16" s="30">
        <v>21968</v>
      </c>
      <c r="AL16" s="30">
        <v>21866.400000000001</v>
      </c>
      <c r="AM16" s="9">
        <v>87801.200000000012</v>
      </c>
    </row>
    <row r="17" spans="1:39" x14ac:dyDescent="0.2">
      <c r="A17" s="12">
        <v>15</v>
      </c>
      <c r="B17" s="12">
        <v>0.93</v>
      </c>
      <c r="C17" s="12">
        <v>0.99</v>
      </c>
      <c r="D17" s="12">
        <v>0.97</v>
      </c>
      <c r="E17" s="12">
        <v>0.8</v>
      </c>
      <c r="F17" s="20">
        <v>1.9</v>
      </c>
      <c r="G17" s="20">
        <v>5</v>
      </c>
      <c r="H17" s="20">
        <v>4.5</v>
      </c>
      <c r="I17" s="20">
        <v>3</v>
      </c>
      <c r="J17" s="12">
        <v>0.67795418373365002</v>
      </c>
      <c r="K17" s="12">
        <v>0.65083601638430399</v>
      </c>
      <c r="L17" s="12">
        <v>0.121028809528339</v>
      </c>
      <c r="M17" s="12">
        <v>0.12882276000000001</v>
      </c>
      <c r="N17" s="12">
        <v>3.5702104572069602</v>
      </c>
      <c r="O17" s="12">
        <v>3.4631041434907499</v>
      </c>
      <c r="P17" s="12" t="b">
        <v>1</v>
      </c>
      <c r="Q17" s="12" t="b">
        <v>1</v>
      </c>
      <c r="R17" s="12" t="b">
        <v>1</v>
      </c>
      <c r="S17" s="12" t="str">
        <f t="shared" si="0"/>
        <v>Satisfied</v>
      </c>
      <c r="T17" s="9">
        <v>15</v>
      </c>
      <c r="U17" s="9">
        <v>1084000</v>
      </c>
      <c r="V17" s="9" t="s">
        <v>23</v>
      </c>
      <c r="W17" s="9">
        <v>2276000</v>
      </c>
      <c r="X17" s="9" t="s">
        <v>23</v>
      </c>
      <c r="Y17" s="42">
        <f t="shared" si="4"/>
        <v>1192000</v>
      </c>
      <c r="Z17" s="9" t="str">
        <f>IF(W17=U17,"equal",IF(W17&lt;U17,"Uniform","Non-Uniform"))</f>
        <v>Non-Uniform</v>
      </c>
      <c r="AA17" s="21">
        <f>(Y17*100)/U17</f>
        <v>109.96309963099631</v>
      </c>
      <c r="AB17" s="34"/>
      <c r="AC17" s="30">
        <v>796890.39999999991</v>
      </c>
      <c r="AD17" s="30">
        <v>63720</v>
      </c>
      <c r="AE17" s="30">
        <v>66271.5</v>
      </c>
      <c r="AF17" s="30">
        <v>152859</v>
      </c>
      <c r="AG17" s="9">
        <v>1079740.8999999999</v>
      </c>
      <c r="AH17" s="7"/>
      <c r="AI17" s="30">
        <v>568662.4</v>
      </c>
      <c r="AJ17" s="30">
        <v>569010</v>
      </c>
      <c r="AK17" s="30">
        <v>568440</v>
      </c>
      <c r="AL17" s="30">
        <v>566730</v>
      </c>
      <c r="AM17" s="9">
        <v>2272842.4</v>
      </c>
    </row>
    <row r="18" spans="1:39" x14ac:dyDescent="0.2">
      <c r="A18" s="12">
        <v>16</v>
      </c>
      <c r="B18" s="12">
        <v>0.9</v>
      </c>
      <c r="C18" s="12">
        <v>0.8</v>
      </c>
      <c r="D18" s="12">
        <v>0.91</v>
      </c>
      <c r="E18" s="12">
        <v>0.87</v>
      </c>
      <c r="F18" s="20">
        <v>3.1</v>
      </c>
      <c r="G18" s="20">
        <v>3.7</v>
      </c>
      <c r="H18" s="20">
        <v>4.9000000000000004</v>
      </c>
      <c r="I18" s="20">
        <v>2.9</v>
      </c>
      <c r="J18" s="12">
        <v>0.60323076868360603</v>
      </c>
      <c r="K18" s="12">
        <v>0.57306923024942602</v>
      </c>
      <c r="L18" s="12">
        <v>0.16702564096484501</v>
      </c>
      <c r="M18" s="12">
        <v>0.17955256403720837</v>
      </c>
      <c r="N18" s="12">
        <v>3.3406648708672</v>
      </c>
      <c r="O18" s="12">
        <v>3.20703827603251</v>
      </c>
      <c r="P18" s="12" t="b">
        <v>1</v>
      </c>
      <c r="Q18" s="12" t="b">
        <v>1</v>
      </c>
      <c r="R18" s="12" t="b">
        <v>1</v>
      </c>
      <c r="S18" s="12" t="str">
        <f t="shared" si="0"/>
        <v>Satisfied</v>
      </c>
      <c r="T18" s="9">
        <v>16</v>
      </c>
      <c r="U18" s="9">
        <v>1192000</v>
      </c>
      <c r="V18" s="9" t="s">
        <v>23</v>
      </c>
      <c r="W18" s="9">
        <v>1998000</v>
      </c>
      <c r="X18" s="9" t="s">
        <v>23</v>
      </c>
      <c r="Y18" s="42">
        <f t="shared" si="4"/>
        <v>806000</v>
      </c>
      <c r="Z18" s="9" t="str">
        <f t="shared" si="5"/>
        <v>Non-Uniform</v>
      </c>
      <c r="AA18" s="21">
        <f t="shared" si="6"/>
        <v>67.617449664429529</v>
      </c>
      <c r="AB18" s="34"/>
      <c r="AC18" s="30">
        <v>759168.3</v>
      </c>
      <c r="AD18" s="30">
        <v>109020.5</v>
      </c>
      <c r="AE18" s="30">
        <v>112837.20000000001</v>
      </c>
      <c r="AF18" s="30">
        <v>206813.5</v>
      </c>
      <c r="AG18" s="9">
        <v>1187839.5</v>
      </c>
      <c r="AH18" s="7"/>
      <c r="AI18" s="30">
        <v>498607.10000000003</v>
      </c>
      <c r="AJ18" s="30">
        <v>499007.9</v>
      </c>
      <c r="AK18" s="30">
        <v>499310.00000000006</v>
      </c>
      <c r="AL18" s="30">
        <v>498307</v>
      </c>
      <c r="AM18" s="9">
        <v>1995232</v>
      </c>
    </row>
    <row r="19" spans="1:39" x14ac:dyDescent="0.2">
      <c r="A19" s="12">
        <v>17</v>
      </c>
      <c r="B19" s="12">
        <v>0.83</v>
      </c>
      <c r="C19" s="12">
        <v>0.96</v>
      </c>
      <c r="D19" s="12">
        <v>0.88</v>
      </c>
      <c r="E19" s="12">
        <v>0.83</v>
      </c>
      <c r="F19" s="20">
        <v>2.7</v>
      </c>
      <c r="G19" s="20">
        <v>5</v>
      </c>
      <c r="H19" s="20">
        <v>4.3</v>
      </c>
      <c r="I19" s="20">
        <v>3.8</v>
      </c>
      <c r="J19" s="12">
        <v>0.52562343521780297</v>
      </c>
      <c r="K19" s="12">
        <v>0.50459849780909105</v>
      </c>
      <c r="L19" s="12">
        <v>0.27765781203256201</v>
      </c>
      <c r="M19" s="12">
        <v>0.30542359323581825</v>
      </c>
      <c r="N19" s="12">
        <v>3.2262695910169299</v>
      </c>
      <c r="O19" s="12">
        <v>3.0649561114660799</v>
      </c>
      <c r="P19" s="12" t="b">
        <v>1</v>
      </c>
      <c r="Q19" s="12" t="b">
        <v>1</v>
      </c>
      <c r="R19" s="12" t="b">
        <v>1</v>
      </c>
      <c r="S19" s="12" t="str">
        <f t="shared" si="0"/>
        <v>Satisfied</v>
      </c>
      <c r="T19" s="9">
        <v>17</v>
      </c>
      <c r="U19" s="9">
        <v>1392000</v>
      </c>
      <c r="V19" s="9" t="s">
        <v>23</v>
      </c>
      <c r="W19" s="9">
        <v>1574000</v>
      </c>
      <c r="X19" s="9" t="s">
        <v>23</v>
      </c>
      <c r="Y19" s="42">
        <f t="shared" si="4"/>
        <v>182000</v>
      </c>
      <c r="Z19" s="9" t="str">
        <f t="shared" si="5"/>
        <v>Non-Uniform</v>
      </c>
      <c r="AA19" s="21">
        <f t="shared" si="6"/>
        <v>13.074712643678161</v>
      </c>
      <c r="AB19" s="34"/>
      <c r="AC19" s="30">
        <v>730414.8</v>
      </c>
      <c r="AD19" s="30">
        <v>154050</v>
      </c>
      <c r="AE19" s="30">
        <v>159151.6</v>
      </c>
      <c r="AF19" s="30">
        <v>342376.2</v>
      </c>
      <c r="AG19" s="9">
        <v>1385992.6</v>
      </c>
      <c r="AH19" s="7"/>
      <c r="AI19" s="30">
        <v>393111.9</v>
      </c>
      <c r="AJ19" s="30">
        <v>393510</v>
      </c>
      <c r="AK19" s="30">
        <v>392564.2</v>
      </c>
      <c r="AL19" s="30">
        <v>391776.19999999995</v>
      </c>
      <c r="AM19" s="9">
        <v>1570962.3</v>
      </c>
    </row>
    <row r="20" spans="1:39" x14ac:dyDescent="0.2">
      <c r="A20" s="12">
        <v>18</v>
      </c>
      <c r="B20" s="12">
        <v>0.89</v>
      </c>
      <c r="C20" s="12">
        <v>0.93</v>
      </c>
      <c r="D20" s="12">
        <v>0.9</v>
      </c>
      <c r="E20" s="12">
        <v>0.98</v>
      </c>
      <c r="F20" s="20">
        <v>4.5999999999999996</v>
      </c>
      <c r="G20" s="20">
        <v>2.2999999999999998</v>
      </c>
      <c r="H20" s="20">
        <v>3.6</v>
      </c>
      <c r="I20" s="20">
        <v>4.4000000000000004</v>
      </c>
      <c r="J20" s="12">
        <v>0.71006179286095195</v>
      </c>
      <c r="K20" s="12">
        <v>0.64615623150346602</v>
      </c>
      <c r="L20" s="12">
        <v>0.197760446308657</v>
      </c>
      <c r="M20" s="12">
        <v>0.22346930432878237</v>
      </c>
      <c r="N20" s="12">
        <v>3.50192521063344</v>
      </c>
      <c r="O20" s="12">
        <v>2.976636429038424</v>
      </c>
      <c r="P20" s="12" t="b">
        <v>1</v>
      </c>
      <c r="Q20" s="12" t="b">
        <v>1</v>
      </c>
      <c r="R20" s="12" t="b">
        <v>1</v>
      </c>
      <c r="S20" s="12" t="str">
        <f t="shared" si="0"/>
        <v>Satisfied</v>
      </c>
      <c r="T20" s="9">
        <v>18</v>
      </c>
      <c r="U20" s="9">
        <v>364000</v>
      </c>
      <c r="V20" s="9" t="s">
        <v>23</v>
      </c>
      <c r="W20" s="9">
        <v>646000</v>
      </c>
      <c r="X20" s="9" t="s">
        <v>23</v>
      </c>
      <c r="Y20" s="42">
        <f t="shared" si="4"/>
        <v>282000</v>
      </c>
      <c r="Z20" s="9" t="str">
        <f t="shared" si="5"/>
        <v>Non-Uniform</v>
      </c>
      <c r="AA20" s="21">
        <f t="shared" si="6"/>
        <v>77.472527472527474</v>
      </c>
      <c r="AB20" s="34"/>
      <c r="AC20" s="30">
        <v>289896.59999999998</v>
      </c>
      <c r="AD20" s="30">
        <v>18623.099999999999</v>
      </c>
      <c r="AE20" s="30">
        <v>19270.8</v>
      </c>
      <c r="AF20" s="30">
        <v>34667.600000000006</v>
      </c>
      <c r="AG20" s="9">
        <v>362458.1</v>
      </c>
      <c r="AH20" s="7"/>
      <c r="AI20" s="30">
        <v>160475.59999999998</v>
      </c>
      <c r="AJ20" s="30">
        <v>161213.9</v>
      </c>
      <c r="AK20" s="30">
        <v>160473.60000000001</v>
      </c>
      <c r="AL20" s="30">
        <v>160604.40000000002</v>
      </c>
      <c r="AM20" s="9">
        <v>642767.5</v>
      </c>
    </row>
    <row r="21" spans="1:39" x14ac:dyDescent="0.2">
      <c r="A21" s="12">
        <v>19</v>
      </c>
      <c r="B21" s="12">
        <v>0.98</v>
      </c>
      <c r="C21" s="12">
        <v>0.9</v>
      </c>
      <c r="D21" s="12">
        <v>0.89</v>
      </c>
      <c r="E21" s="12">
        <v>0.84</v>
      </c>
      <c r="F21" s="20">
        <v>1.6</v>
      </c>
      <c r="G21" s="20">
        <v>2.5</v>
      </c>
      <c r="H21" s="20">
        <v>4.3</v>
      </c>
      <c r="I21" s="20">
        <v>1.9</v>
      </c>
      <c r="J21" s="12">
        <v>0.72195433151503197</v>
      </c>
      <c r="K21" s="12">
        <v>0.63531981173322816</v>
      </c>
      <c r="L21" s="12">
        <v>3.4733761867653701E-2</v>
      </c>
      <c r="M21" s="12">
        <v>4.6890578521332597E-2</v>
      </c>
      <c r="N21" s="12">
        <v>3.59369642280764</v>
      </c>
      <c r="O21" s="12">
        <v>2.982768030930341</v>
      </c>
      <c r="P21" s="12" t="b">
        <v>1</v>
      </c>
      <c r="Q21" s="12" t="b">
        <v>1</v>
      </c>
      <c r="R21" s="12" t="b">
        <v>1</v>
      </c>
      <c r="S21" s="12" t="str">
        <f t="shared" si="0"/>
        <v>Satisfied</v>
      </c>
      <c r="T21" s="9">
        <v>19</v>
      </c>
      <c r="U21" s="9">
        <v>98000</v>
      </c>
      <c r="V21" s="9" t="s">
        <v>23</v>
      </c>
      <c r="W21" s="9">
        <v>198000</v>
      </c>
      <c r="X21" s="9" t="s">
        <v>23</v>
      </c>
      <c r="Y21" s="42">
        <f t="shared" si="4"/>
        <v>100000</v>
      </c>
      <c r="Z21" s="9" t="str">
        <f t="shared" si="5"/>
        <v>Non-Uniform</v>
      </c>
      <c r="AA21" s="21">
        <f t="shared" si="6"/>
        <v>102.04081632653062</v>
      </c>
      <c r="AB21" s="34"/>
      <c r="AC21" s="30">
        <v>69604.800000000003</v>
      </c>
      <c r="AD21" s="30">
        <v>6872.5</v>
      </c>
      <c r="AE21" s="30">
        <v>7086.4</v>
      </c>
      <c r="AF21" s="30">
        <v>14225.3</v>
      </c>
      <c r="AG21" s="9">
        <v>97789</v>
      </c>
      <c r="AH21" s="7"/>
      <c r="AI21" s="30">
        <v>49424</v>
      </c>
      <c r="AJ21" s="30">
        <v>49505</v>
      </c>
      <c r="AK21" s="30">
        <v>49389.799999999996</v>
      </c>
      <c r="AL21" s="30">
        <v>49474.1</v>
      </c>
      <c r="AM21" s="9">
        <v>197792.9</v>
      </c>
    </row>
    <row r="22" spans="1:39" x14ac:dyDescent="0.2">
      <c r="A22" s="12">
        <v>20</v>
      </c>
      <c r="B22" s="12">
        <v>0.85</v>
      </c>
      <c r="C22" s="12">
        <v>0.97</v>
      </c>
      <c r="D22" s="12">
        <v>0.93</v>
      </c>
      <c r="E22" s="12">
        <v>0.88</v>
      </c>
      <c r="F22" s="20">
        <v>1.5</v>
      </c>
      <c r="G22" s="20">
        <v>4.7</v>
      </c>
      <c r="H22" s="20">
        <v>3.6</v>
      </c>
      <c r="I22" s="20">
        <v>4.4000000000000004</v>
      </c>
      <c r="J22" s="12">
        <v>0.60377605004344304</v>
      </c>
      <c r="K22" s="12">
        <v>0.68226693654908999</v>
      </c>
      <c r="L22" s="12">
        <v>0.25654871471354801</v>
      </c>
      <c r="M22" s="12">
        <v>0.28220358618490299</v>
      </c>
      <c r="N22" s="12">
        <v>3.3675107735833598</v>
      </c>
      <c r="O22" s="12">
        <v>3.1960024749999998</v>
      </c>
      <c r="P22" s="12" t="b">
        <f>IF(J22*1000&gt;K22*1000,TRUE,FALSE)</f>
        <v>0</v>
      </c>
      <c r="Q22" s="12" t="b">
        <f>IF(L22*1000&lt;M22*1000,TRUE,FALSE)</f>
        <v>1</v>
      </c>
      <c r="R22" s="12" t="b">
        <f>IF(N22*1000&gt;O22*1000,TRUE,FALSE)</f>
        <v>1</v>
      </c>
      <c r="S22" s="12" t="str">
        <f t="shared" si="0"/>
        <v>Violated</v>
      </c>
      <c r="T22" s="9">
        <v>20</v>
      </c>
      <c r="U22" s="9">
        <v>90000</v>
      </c>
      <c r="V22" s="9" t="s">
        <v>22</v>
      </c>
      <c r="W22" s="9">
        <v>102000</v>
      </c>
      <c r="X22" s="9" t="s">
        <v>22</v>
      </c>
      <c r="Y22" s="42">
        <f t="shared" si="4"/>
        <v>12000</v>
      </c>
      <c r="Z22" s="9" t="str">
        <f>IF(W22=U22,"equal",IF(W22&lt;U22,"Uniform","Non-Uniform"))</f>
        <v>Non-Uniform</v>
      </c>
      <c r="AA22" s="21">
        <f t="shared" si="6"/>
        <v>13.333333333333334</v>
      </c>
      <c r="AB22" s="34"/>
      <c r="AC22" s="30">
        <v>51580.5</v>
      </c>
      <c r="AD22" s="30">
        <v>10133.200000000001</v>
      </c>
      <c r="AE22" s="30">
        <v>10494</v>
      </c>
      <c r="AF22" s="30">
        <v>17498.800000000003</v>
      </c>
      <c r="AG22" s="9">
        <v>89706.5</v>
      </c>
      <c r="AH22" s="7"/>
      <c r="AI22" s="30">
        <v>25477.5</v>
      </c>
      <c r="AJ22" s="30">
        <v>25417.600000000002</v>
      </c>
      <c r="AK22" s="30">
        <v>25344</v>
      </c>
      <c r="AL22" s="30">
        <v>25366.000000000004</v>
      </c>
      <c r="AM22" s="9">
        <v>101605.1</v>
      </c>
    </row>
    <row r="23" spans="1:39" x14ac:dyDescent="0.2">
      <c r="A23" s="12">
        <v>21</v>
      </c>
      <c r="B23" s="12">
        <v>0.96</v>
      </c>
      <c r="C23" s="12">
        <v>0.99</v>
      </c>
      <c r="D23" s="12">
        <v>0.84</v>
      </c>
      <c r="E23" s="12">
        <v>0.94</v>
      </c>
      <c r="F23" s="20">
        <v>2.8</v>
      </c>
      <c r="G23" s="20">
        <v>4.5</v>
      </c>
      <c r="H23" s="20">
        <v>2</v>
      </c>
      <c r="I23" s="20">
        <v>3.3</v>
      </c>
      <c r="J23" s="12">
        <v>0.79147354866459596</v>
      </c>
      <c r="K23" s="12">
        <v>0.73607040025807402</v>
      </c>
      <c r="L23" s="12">
        <v>7.2978064527691594E-2</v>
      </c>
      <c r="M23" s="12">
        <v>9.4871483885999003E-2</v>
      </c>
      <c r="N23" s="12">
        <v>3.66152640130879</v>
      </c>
      <c r="O23" s="12">
        <v>3.3819890251909999</v>
      </c>
      <c r="P23" s="12" t="b">
        <f>IF(J23*1000&gt;K23*1000,TRUE,FALSE)</f>
        <v>1</v>
      </c>
      <c r="Q23" s="12" t="b">
        <f>IF(L23*1000&lt;M23*1000,TRUE,FALSE)</f>
        <v>1</v>
      </c>
      <c r="R23" s="12" t="b">
        <f>IF(N23*1000&gt;O23*1000,TRUE,FALSE)</f>
        <v>1</v>
      </c>
      <c r="S23" s="12" t="str">
        <f t="shared" si="0"/>
        <v>Satisfied</v>
      </c>
      <c r="T23" s="9">
        <v>21</v>
      </c>
      <c r="U23" s="9">
        <v>154000</v>
      </c>
      <c r="V23" s="9" t="s">
        <v>23</v>
      </c>
      <c r="W23" s="9">
        <v>318000</v>
      </c>
      <c r="X23" s="9" t="s">
        <v>23</v>
      </c>
      <c r="Y23" s="42">
        <f t="shared" si="4"/>
        <v>164000</v>
      </c>
      <c r="Z23" s="9" t="str">
        <f t="shared" si="5"/>
        <v>Non-Uniform</v>
      </c>
      <c r="AA23" s="21">
        <f t="shared" si="6"/>
        <v>106.49350649350649</v>
      </c>
      <c r="AB23" s="34"/>
      <c r="AC23" s="30">
        <v>89969.599999999991</v>
      </c>
      <c r="AD23" s="30">
        <v>16101</v>
      </c>
      <c r="AE23" s="30">
        <v>16762</v>
      </c>
      <c r="AF23" s="30">
        <v>30765.899999999998</v>
      </c>
      <c r="AG23" s="9">
        <v>153598.5</v>
      </c>
      <c r="AH23" s="7"/>
      <c r="AI23" s="30">
        <v>79251.199999999997</v>
      </c>
      <c r="AJ23" s="30">
        <v>79429.5</v>
      </c>
      <c r="AK23" s="30">
        <v>79504</v>
      </c>
      <c r="AL23" s="30">
        <v>79236.3</v>
      </c>
      <c r="AM23" s="9">
        <v>317421</v>
      </c>
    </row>
    <row r="24" spans="1:39" x14ac:dyDescent="0.2">
      <c r="A24" s="12">
        <v>22</v>
      </c>
      <c r="B24" s="12">
        <v>0.94</v>
      </c>
      <c r="C24" s="12">
        <v>0.89</v>
      </c>
      <c r="D24" s="12">
        <v>0.94</v>
      </c>
      <c r="E24" s="12">
        <v>0.98</v>
      </c>
      <c r="F24" s="20">
        <v>2.6</v>
      </c>
      <c r="G24" s="20">
        <v>4.5</v>
      </c>
      <c r="H24" s="20">
        <v>2.2000000000000002</v>
      </c>
      <c r="I24" s="20">
        <v>4.7</v>
      </c>
      <c r="J24" s="12">
        <v>0.79272179936634302</v>
      </c>
      <c r="K24" s="12">
        <v>0.83655728726495804</v>
      </c>
      <c r="L24" s="12">
        <v>0.110599263789341</v>
      </c>
      <c r="M24" s="12">
        <v>8.5161433117792576E-2</v>
      </c>
      <c r="N24" s="12">
        <v>3.6438513176911198</v>
      </c>
      <c r="O24" s="12">
        <v>3.46165875180656</v>
      </c>
      <c r="P24" s="12" t="b">
        <v>0</v>
      </c>
      <c r="Q24" s="12" t="b">
        <v>0</v>
      </c>
      <c r="R24" s="12" t="b">
        <v>1</v>
      </c>
      <c r="S24" s="12" t="str">
        <f t="shared" si="0"/>
        <v>Violated</v>
      </c>
      <c r="T24" s="9">
        <v>22</v>
      </c>
      <c r="U24" s="9">
        <v>160000</v>
      </c>
      <c r="V24" s="9" t="s">
        <v>22</v>
      </c>
      <c r="W24" s="9">
        <v>286000</v>
      </c>
      <c r="X24" s="9" t="s">
        <v>22</v>
      </c>
      <c r="Y24" s="42">
        <f t="shared" si="4"/>
        <v>126000</v>
      </c>
      <c r="Z24" s="9" t="str">
        <f t="shared" si="5"/>
        <v>Non-Uniform</v>
      </c>
      <c r="AA24" s="21">
        <f t="shared" si="6"/>
        <v>78.75</v>
      </c>
      <c r="AB24" s="34"/>
      <c r="AC24" s="30">
        <v>119191.8</v>
      </c>
      <c r="AD24" s="30">
        <v>11169</v>
      </c>
      <c r="AE24" s="30">
        <v>11618.2</v>
      </c>
      <c r="AF24" s="30">
        <v>17559.2</v>
      </c>
      <c r="AG24" s="9">
        <v>159538.20000000001</v>
      </c>
      <c r="AH24" s="7"/>
      <c r="AI24" s="30">
        <v>71390.8</v>
      </c>
      <c r="AJ24" s="30">
        <v>71437.5</v>
      </c>
      <c r="AK24" s="30">
        <v>71418.600000000006</v>
      </c>
      <c r="AL24" s="30">
        <v>71252</v>
      </c>
      <c r="AM24" s="9">
        <v>285498.90000000002</v>
      </c>
    </row>
    <row r="25" spans="1:39" x14ac:dyDescent="0.2">
      <c r="A25" s="12">
        <v>23</v>
      </c>
      <c r="B25" s="12">
        <v>0.86</v>
      </c>
      <c r="C25" s="12">
        <v>0.87</v>
      </c>
      <c r="D25" s="12">
        <v>0.82</v>
      </c>
      <c r="E25" s="12">
        <v>0.81</v>
      </c>
      <c r="F25" s="20">
        <v>1.7</v>
      </c>
      <c r="G25" s="20">
        <v>1.7</v>
      </c>
      <c r="H25" s="20">
        <v>3.7</v>
      </c>
      <c r="I25" s="20">
        <v>4.3</v>
      </c>
      <c r="J25" s="12">
        <v>0.50594374211455695</v>
      </c>
      <c r="K25" s="12">
        <v>0.35416061948018984</v>
      </c>
      <c r="L25" s="12">
        <v>0.222362934762834</v>
      </c>
      <c r="M25" s="12">
        <v>0.29351907388694198</v>
      </c>
      <c r="N25" s="12">
        <v>3.1746101522396399</v>
      </c>
      <c r="O25" s="12">
        <v>2.9206413400604698</v>
      </c>
      <c r="P25" s="12" t="b">
        <v>1</v>
      </c>
      <c r="Q25" s="12" t="b">
        <v>1</v>
      </c>
      <c r="R25" s="12" t="b">
        <v>1</v>
      </c>
      <c r="S25" s="12" t="str">
        <f t="shared" si="0"/>
        <v>Satisfied</v>
      </c>
      <c r="T25" s="9">
        <v>23</v>
      </c>
      <c r="U25" s="9">
        <v>34000</v>
      </c>
      <c r="V25" s="9" t="s">
        <v>23</v>
      </c>
      <c r="W25" s="9">
        <v>48000</v>
      </c>
      <c r="X25" s="9" t="s">
        <v>23</v>
      </c>
      <c r="Y25" s="42">
        <f t="shared" si="4"/>
        <v>14000</v>
      </c>
      <c r="Z25" s="9" t="str">
        <f t="shared" si="5"/>
        <v>Non-Uniform</v>
      </c>
      <c r="AA25" s="21">
        <f t="shared" si="6"/>
        <v>41.176470588235297</v>
      </c>
      <c r="AB25" s="34"/>
      <c r="AC25" s="30">
        <v>20111</v>
      </c>
      <c r="AD25" s="30">
        <v>4326.5</v>
      </c>
      <c r="AE25" s="30">
        <v>4451.1000000000004</v>
      </c>
      <c r="AF25" s="30">
        <v>5043.8999999999996</v>
      </c>
      <c r="AG25" s="9">
        <v>33932.5</v>
      </c>
      <c r="AH25" s="7"/>
      <c r="AI25" s="30">
        <v>11998.6</v>
      </c>
      <c r="AJ25" s="30">
        <v>11998.6</v>
      </c>
      <c r="AK25" s="30">
        <v>11995.400000000001</v>
      </c>
      <c r="AL25" s="30">
        <v>11979.8</v>
      </c>
      <c r="AM25" s="9">
        <v>47972.400000000009</v>
      </c>
    </row>
    <row r="26" spans="1:39" x14ac:dyDescent="0.2">
      <c r="A26" s="12">
        <v>24</v>
      </c>
      <c r="B26" s="12">
        <v>0.88</v>
      </c>
      <c r="C26" s="12">
        <v>0.8</v>
      </c>
      <c r="D26" s="12">
        <v>0.89</v>
      </c>
      <c r="E26" s="12">
        <v>0.96</v>
      </c>
      <c r="F26" s="20">
        <v>2.9</v>
      </c>
      <c r="G26" s="20">
        <v>4.5</v>
      </c>
      <c r="H26" s="20">
        <v>3.7</v>
      </c>
      <c r="I26" s="20">
        <v>5</v>
      </c>
      <c r="J26" s="12">
        <v>0.62880803285977904</v>
      </c>
      <c r="K26" s="12">
        <f>J26*0.975</f>
        <v>0.61308783203828454</v>
      </c>
      <c r="L26" s="12">
        <v>0.20574654993542399</v>
      </c>
      <c r="M26" s="12">
        <v>0.26335558391734298</v>
      </c>
      <c r="N26" s="12">
        <v>3.3388810174060399</v>
      </c>
      <c r="O26" s="12">
        <f>N26*0.95</f>
        <v>3.1719369665357378</v>
      </c>
      <c r="P26" s="12" t="b">
        <f>IF(J26*1000&gt;K26*1000,TRUE,FALSE)</f>
        <v>1</v>
      </c>
      <c r="Q26" s="12" t="b">
        <f>IF(L26*1000&lt;M26*1000,TRUE,FALSE)</f>
        <v>1</v>
      </c>
      <c r="R26" s="12" t="b">
        <f>IF(N26*1000&gt;O26*1000,TRUE,FALSE)</f>
        <v>1</v>
      </c>
      <c r="S26" s="12" t="str">
        <f t="shared" si="0"/>
        <v>Satisfied</v>
      </c>
      <c r="T26" s="9">
        <v>24</v>
      </c>
      <c r="U26" s="9">
        <v>2276000</v>
      </c>
      <c r="V26" s="9" t="s">
        <v>23</v>
      </c>
      <c r="W26" s="9">
        <v>1046000</v>
      </c>
      <c r="X26" s="9" t="s">
        <v>23</v>
      </c>
      <c r="Y26" s="42">
        <f t="shared" si="4"/>
        <v>-1230000</v>
      </c>
      <c r="Z26" s="9" t="str">
        <f t="shared" si="5"/>
        <v>Uniform</v>
      </c>
      <c r="AA26" s="21">
        <f t="shared" si="6"/>
        <v>-54.04217926186292</v>
      </c>
      <c r="AB26" s="34"/>
      <c r="AC26" s="30">
        <v>1150714.2</v>
      </c>
      <c r="AD26" s="30">
        <v>292437</v>
      </c>
      <c r="AE26" s="30">
        <v>303684.90000000002</v>
      </c>
      <c r="AF26" s="30">
        <v>520205</v>
      </c>
      <c r="AG26" s="9">
        <v>2267041.1</v>
      </c>
      <c r="AH26" s="7"/>
      <c r="AI26" s="30">
        <v>260878.19999999998</v>
      </c>
      <c r="AJ26" s="30">
        <v>261247.5</v>
      </c>
      <c r="AK26" s="30">
        <v>261245.90000000002</v>
      </c>
      <c r="AL26" s="30">
        <v>261510</v>
      </c>
      <c r="AM26" s="9">
        <v>1044881.6</v>
      </c>
    </row>
    <row r="27" spans="1:39" x14ac:dyDescent="0.2">
      <c r="A27" s="12">
        <v>25</v>
      </c>
      <c r="B27" s="12">
        <v>0.95</v>
      </c>
      <c r="C27" s="12">
        <v>0.89</v>
      </c>
      <c r="D27" s="12">
        <v>0.84</v>
      </c>
      <c r="E27" s="12">
        <v>0.89</v>
      </c>
      <c r="F27" s="20">
        <v>1.3</v>
      </c>
      <c r="G27" s="20">
        <v>4.4000000000000004</v>
      </c>
      <c r="H27" s="20">
        <v>2.9</v>
      </c>
      <c r="I27" s="20">
        <v>1.8</v>
      </c>
      <c r="J27" s="12">
        <v>0.69442026630869103</v>
      </c>
      <c r="K27" s="12">
        <v>0.72219707696103896</v>
      </c>
      <c r="L27" s="12">
        <v>8.6548435068878493E-2</v>
      </c>
      <c r="M27" s="12">
        <v>7.7893591561990702E-2</v>
      </c>
      <c r="N27" s="12">
        <v>3.50228056628427</v>
      </c>
      <c r="O27" s="12">
        <v>3.6930559588209202</v>
      </c>
      <c r="P27" s="12" t="b">
        <v>0</v>
      </c>
      <c r="Q27" s="12" t="b">
        <v>0</v>
      </c>
      <c r="R27" s="12" t="b">
        <v>0</v>
      </c>
      <c r="S27" s="12" t="str">
        <f t="shared" si="0"/>
        <v>Violated</v>
      </c>
      <c r="T27" s="9">
        <v>25</v>
      </c>
      <c r="U27" s="9">
        <v>52000</v>
      </c>
      <c r="V27" s="9" t="s">
        <v>22</v>
      </c>
      <c r="W27" s="9">
        <v>48000</v>
      </c>
      <c r="X27" s="9" t="s">
        <v>22</v>
      </c>
      <c r="Y27" s="42">
        <f t="shared" si="4"/>
        <v>-4000</v>
      </c>
      <c r="Z27" s="9" t="str">
        <f t="shared" si="5"/>
        <v>Uniform</v>
      </c>
      <c r="AA27" s="21">
        <f t="shared" si="6"/>
        <v>-7.6923076923076925</v>
      </c>
      <c r="AB27" s="34"/>
      <c r="AC27" s="30">
        <v>27011.4</v>
      </c>
      <c r="AD27" s="30">
        <v>7528.4000000000005</v>
      </c>
      <c r="AE27" s="30">
        <v>7780.7</v>
      </c>
      <c r="AF27" s="30">
        <v>9570.6</v>
      </c>
      <c r="AG27" s="9">
        <v>51891.1</v>
      </c>
      <c r="AH27" s="7"/>
      <c r="AI27" s="30">
        <v>11983.4</v>
      </c>
      <c r="AJ27" s="30">
        <v>11941.6</v>
      </c>
      <c r="AK27" s="30">
        <v>11977</v>
      </c>
      <c r="AL27" s="30">
        <v>11970</v>
      </c>
      <c r="AM27" s="9">
        <v>47872</v>
      </c>
    </row>
    <row r="28" spans="1:39" x14ac:dyDescent="0.2">
      <c r="A28" s="12">
        <v>26</v>
      </c>
      <c r="B28" s="12">
        <v>0.8</v>
      </c>
      <c r="C28" s="12">
        <v>0.89</v>
      </c>
      <c r="D28" s="12">
        <v>0.95</v>
      </c>
      <c r="E28" s="12">
        <v>0.97</v>
      </c>
      <c r="F28" s="20">
        <v>1.6</v>
      </c>
      <c r="G28" s="20">
        <v>3.9</v>
      </c>
      <c r="H28" s="20">
        <v>1.1000000000000001</v>
      </c>
      <c r="I28" s="20">
        <v>3.5</v>
      </c>
      <c r="J28" s="12">
        <v>0.57147816131759799</v>
      </c>
      <c r="K28" s="12">
        <f>J28*0.78</f>
        <v>0.44575296582772644</v>
      </c>
      <c r="L28" s="12">
        <v>0.34286954032939898</v>
      </c>
      <c r="M28" s="12">
        <v>0.436016488638101</v>
      </c>
      <c r="N28" s="12">
        <v>3.2507874068220901</v>
      </c>
      <c r="O28" s="12">
        <f>N28*0.81</f>
        <v>2.6331377995258931</v>
      </c>
      <c r="P28" s="12" t="b">
        <f>IF(J28*1000&gt;K28*1000,TRUE,FALSE)</f>
        <v>1</v>
      </c>
      <c r="Q28" s="12" t="b">
        <f>IF(L28*1000&lt;M28*1000,TRUE,FALSE)</f>
        <v>1</v>
      </c>
      <c r="R28" s="12" t="b">
        <f>IF(N28*1000&gt;O28*1000,TRUE,FALSE)</f>
        <v>1</v>
      </c>
      <c r="S28" s="12" t="str">
        <f t="shared" si="0"/>
        <v>Satisfied</v>
      </c>
      <c r="T28" s="9">
        <v>26</v>
      </c>
      <c r="U28" s="9">
        <v>24000</v>
      </c>
      <c r="V28" s="9" t="s">
        <v>23</v>
      </c>
      <c r="W28" s="9">
        <v>22000</v>
      </c>
      <c r="X28" s="9" t="s">
        <v>23</v>
      </c>
      <c r="Y28" s="42">
        <f t="shared" si="4"/>
        <v>-2000</v>
      </c>
      <c r="Z28" s="9" t="str">
        <f t="shared" si="5"/>
        <v>Uniform</v>
      </c>
      <c r="AA28" s="21">
        <f t="shared" si="6"/>
        <v>-8.3333333333333339</v>
      </c>
      <c r="AB28" s="34"/>
      <c r="AC28" s="30">
        <v>13937.6</v>
      </c>
      <c r="AD28" s="30">
        <v>2679.2999999999997</v>
      </c>
      <c r="AE28" s="30">
        <v>2767.6000000000004</v>
      </c>
      <c r="AF28" s="30">
        <v>4585</v>
      </c>
      <c r="AG28" s="9">
        <v>23969.5</v>
      </c>
      <c r="AH28" s="7"/>
      <c r="AI28" s="30">
        <v>5494.4000000000005</v>
      </c>
      <c r="AJ28" s="30">
        <v>5499</v>
      </c>
      <c r="AK28" s="30">
        <v>5495.6</v>
      </c>
      <c r="AL28" s="30">
        <v>5474</v>
      </c>
      <c r="AM28" s="9">
        <v>21963</v>
      </c>
    </row>
    <row r="29" spans="1:39" x14ac:dyDescent="0.2">
      <c r="A29" s="12">
        <v>27</v>
      </c>
      <c r="B29" s="12">
        <v>0.91</v>
      </c>
      <c r="C29" s="12">
        <v>0.9</v>
      </c>
      <c r="D29" s="12">
        <v>0.89</v>
      </c>
      <c r="E29" s="12">
        <v>0.86</v>
      </c>
      <c r="F29" s="20">
        <v>3.4</v>
      </c>
      <c r="G29" s="20">
        <v>4.5</v>
      </c>
      <c r="H29" s="20">
        <v>4</v>
      </c>
      <c r="I29" s="20">
        <v>2.1</v>
      </c>
      <c r="J29" s="12">
        <v>0.637322901739521</v>
      </c>
      <c r="K29" s="12">
        <f>J29*0.87</f>
        <v>0.55447092451338331</v>
      </c>
      <c r="L29" s="12">
        <v>0.15303193533687501</v>
      </c>
      <c r="M29" s="12">
        <v>0.189759599817725</v>
      </c>
      <c r="N29" s="12">
        <v>3.42471969274593</v>
      </c>
      <c r="O29" s="12">
        <f>N29*0.84</f>
        <v>2.876764541906581</v>
      </c>
      <c r="P29" s="12" t="b">
        <f>IF(J29*1000&gt;K29*1000,TRUE,FALSE)</f>
        <v>1</v>
      </c>
      <c r="Q29" s="12" t="b">
        <f>IF(L29*1000&lt;M29*1000,TRUE,FALSE)</f>
        <v>1</v>
      </c>
      <c r="R29" s="12" t="b">
        <f>IF(N29*1000&gt;O29*1000,TRUE,FALSE)</f>
        <v>1</v>
      </c>
      <c r="S29" s="12" t="str">
        <f t="shared" si="0"/>
        <v>Satisfied</v>
      </c>
      <c r="T29" s="9">
        <v>27</v>
      </c>
      <c r="U29" s="9">
        <v>134000</v>
      </c>
      <c r="V29" s="9" t="s">
        <v>23</v>
      </c>
      <c r="W29" s="9">
        <v>216000</v>
      </c>
      <c r="X29" s="9" t="s">
        <v>23</v>
      </c>
      <c r="Y29" s="42">
        <f t="shared" si="4"/>
        <v>82000</v>
      </c>
      <c r="Z29" s="9" t="str">
        <f t="shared" si="5"/>
        <v>Non-Uniform</v>
      </c>
      <c r="AA29" s="21">
        <f t="shared" si="6"/>
        <v>61.194029850746269</v>
      </c>
      <c r="AB29" s="34"/>
      <c r="AC29" s="30">
        <v>84143.2</v>
      </c>
      <c r="AD29" s="30">
        <v>12055.5</v>
      </c>
      <c r="AE29" s="30">
        <v>12528</v>
      </c>
      <c r="AF29" s="30">
        <v>24828.3</v>
      </c>
      <c r="AG29" s="9">
        <v>133555</v>
      </c>
      <c r="AH29" s="7"/>
      <c r="AI29" s="30">
        <v>53985.2</v>
      </c>
      <c r="AJ29" s="30">
        <v>53955</v>
      </c>
      <c r="AK29" s="30">
        <v>54008</v>
      </c>
      <c r="AL29" s="30">
        <v>53982.600000000006</v>
      </c>
      <c r="AM29" s="9">
        <v>215930.80000000002</v>
      </c>
    </row>
    <row r="30" spans="1:39" x14ac:dyDescent="0.2">
      <c r="A30" s="12">
        <v>28</v>
      </c>
      <c r="B30" s="12">
        <v>0.82</v>
      </c>
      <c r="C30" s="12">
        <v>0.84</v>
      </c>
      <c r="D30" s="12">
        <v>0.96</v>
      </c>
      <c r="E30" s="12">
        <v>0.94</v>
      </c>
      <c r="F30" s="20">
        <v>2.8</v>
      </c>
      <c r="G30" s="20">
        <v>3.6</v>
      </c>
      <c r="H30" s="20">
        <v>4.3</v>
      </c>
      <c r="I30" s="20">
        <v>2.1</v>
      </c>
      <c r="J30" s="12">
        <v>0.56954732811959796</v>
      </c>
      <c r="K30" s="12">
        <v>0.52398354187003005</v>
      </c>
      <c r="L30" s="12">
        <v>0.30502258422137501</v>
      </c>
      <c r="M30" s="12">
        <f>L30*1.092</f>
        <v>0.33308466196974157</v>
      </c>
      <c r="N30" s="12">
        <v>3.2534728626384402</v>
      </c>
      <c r="O30" s="12">
        <f>N30*0.94</f>
        <v>3.0582644908801337</v>
      </c>
      <c r="P30" s="12" t="b">
        <f>IF(J30*1000&gt;K30*1000,TRUE,FALSE)</f>
        <v>1</v>
      </c>
      <c r="Q30" s="12" t="b">
        <f>IF(L30*1000&lt;M30*1000,TRUE,FALSE)</f>
        <v>1</v>
      </c>
      <c r="R30" s="12" t="b">
        <f>IF(N30*1000&gt;O30*1000,TRUE,FALSE)</f>
        <v>1</v>
      </c>
      <c r="S30" s="12" t="str">
        <f t="shared" si="0"/>
        <v>Satisfied</v>
      </c>
      <c r="T30" s="9">
        <v>28</v>
      </c>
      <c r="U30" s="9">
        <v>316000</v>
      </c>
      <c r="V30" s="9" t="s">
        <v>23</v>
      </c>
      <c r="W30" s="9">
        <v>426000</v>
      </c>
      <c r="X30" s="9" t="s">
        <v>23</v>
      </c>
      <c r="Y30" s="42">
        <f t="shared" si="4"/>
        <v>110000</v>
      </c>
      <c r="Z30" s="9" t="str">
        <f t="shared" si="5"/>
        <v>Non-Uniform</v>
      </c>
      <c r="AA30" s="21">
        <f t="shared" si="6"/>
        <v>34.810126582278478</v>
      </c>
      <c r="AB30" s="34"/>
      <c r="AC30" s="30">
        <v>195412</v>
      </c>
      <c r="AD30" s="30">
        <v>31165.200000000001</v>
      </c>
      <c r="AE30" s="30">
        <v>32409.1</v>
      </c>
      <c r="AF30" s="30">
        <v>56122.5</v>
      </c>
      <c r="AG30" s="9">
        <v>315108.80000000005</v>
      </c>
      <c r="AH30" s="7"/>
      <c r="AI30" s="30">
        <v>106164.79999999999</v>
      </c>
      <c r="AJ30" s="30">
        <v>105825.60000000001</v>
      </c>
      <c r="AK30" s="30">
        <v>106253</v>
      </c>
      <c r="AL30" s="30">
        <v>106461.6</v>
      </c>
      <c r="AM30" s="9">
        <v>424705</v>
      </c>
    </row>
    <row r="31" spans="1:39" x14ac:dyDescent="0.2">
      <c r="A31" s="12">
        <v>29</v>
      </c>
      <c r="B31" s="12">
        <v>0.94</v>
      </c>
      <c r="C31" s="12">
        <v>0.89</v>
      </c>
      <c r="D31" s="12">
        <v>0.93</v>
      </c>
      <c r="E31" s="12">
        <v>0.86</v>
      </c>
      <c r="F31" s="20">
        <v>3.7</v>
      </c>
      <c r="G31" s="20">
        <v>1.9</v>
      </c>
      <c r="H31" s="20">
        <v>1.7</v>
      </c>
      <c r="I31" s="20">
        <v>4.9000000000000004</v>
      </c>
      <c r="J31" s="12">
        <v>0.69178450213195997</v>
      </c>
      <c r="K31" s="12">
        <v>0.76987002199999999</v>
      </c>
      <c r="L31" s="12">
        <v>0.10415645758289099</v>
      </c>
      <c r="M31" s="12">
        <f>L31*0.85</f>
        <v>8.8532988945457344E-2</v>
      </c>
      <c r="N31" s="12">
        <v>3.53168496420686</v>
      </c>
      <c r="O31" s="12">
        <v>3.6898784610000002</v>
      </c>
      <c r="P31" s="12" t="b">
        <f>IF(J31*1000&gt;K31*1000,TRUE,FALSE)</f>
        <v>0</v>
      </c>
      <c r="Q31" s="12" t="b">
        <f>IF(L31*1000&lt;M31*1000,TRUE,FALSE)</f>
        <v>0</v>
      </c>
      <c r="R31" s="12" t="b">
        <f>IF(N31*1000&gt;O31*1000,TRUE,FALSE)</f>
        <v>0</v>
      </c>
      <c r="S31" s="12" t="str">
        <f t="shared" si="0"/>
        <v>Violated</v>
      </c>
      <c r="T31" s="17">
        <v>29</v>
      </c>
      <c r="U31" s="17">
        <v>94000</v>
      </c>
      <c r="V31" s="17" t="s">
        <v>22</v>
      </c>
      <c r="W31" s="17">
        <v>87000</v>
      </c>
      <c r="X31" s="17" t="s">
        <v>22</v>
      </c>
      <c r="Y31" s="17">
        <f t="shared" si="4"/>
        <v>-7000</v>
      </c>
      <c r="Z31" s="17" t="str">
        <f t="shared" si="5"/>
        <v>Uniform</v>
      </c>
      <c r="AA31" s="22">
        <f t="shared" si="6"/>
        <v>-7.4468085106382977</v>
      </c>
      <c r="AB31" s="34"/>
      <c r="AC31" s="31">
        <v>53420.600000000006</v>
      </c>
      <c r="AD31" s="31">
        <v>12243.599999999999</v>
      </c>
      <c r="AE31" s="31">
        <v>12671.8</v>
      </c>
      <c r="AF31" s="31">
        <v>15145.900000000001</v>
      </c>
      <c r="AG31" s="9">
        <v>93481.900000000023</v>
      </c>
      <c r="AH31" s="7"/>
      <c r="AI31" s="31">
        <v>21574.7</v>
      </c>
      <c r="AJ31" s="31">
        <v>21658.1</v>
      </c>
      <c r="AK31" s="31">
        <v>21744.7</v>
      </c>
      <c r="AL31" s="31">
        <v>21751.100000000002</v>
      </c>
      <c r="AM31" s="35">
        <v>86728.6</v>
      </c>
    </row>
    <row r="32" spans="1:39" x14ac:dyDescent="0.2">
      <c r="A32" s="12">
        <v>30</v>
      </c>
      <c r="B32" s="12">
        <v>0.9</v>
      </c>
      <c r="C32" s="12">
        <v>0.99</v>
      </c>
      <c r="D32" s="12">
        <v>0.83</v>
      </c>
      <c r="E32" s="12">
        <v>0.81</v>
      </c>
      <c r="F32" s="20">
        <v>3.6</v>
      </c>
      <c r="G32" s="20">
        <v>2.5</v>
      </c>
      <c r="H32" s="20">
        <v>3.1</v>
      </c>
      <c r="I32" s="20">
        <v>1.9</v>
      </c>
      <c r="J32" s="12">
        <v>0.59608595272725196</v>
      </c>
      <c r="K32" s="12">
        <f>J32*0.929</f>
        <v>0.55376385008361706</v>
      </c>
      <c r="L32" s="12">
        <v>0.16623177252525001</v>
      </c>
      <c r="M32" s="12">
        <v>0.189504220678785</v>
      </c>
      <c r="N32" s="12">
        <v>3.3799927660520601</v>
      </c>
      <c r="O32" s="12">
        <f>N32*0.75</f>
        <v>2.534994574539045</v>
      </c>
      <c r="P32" s="12" t="b">
        <f>IF(J32*1000&gt;K32*1000,TRUE,FALSE)</f>
        <v>1</v>
      </c>
      <c r="Q32" s="12" t="b">
        <f>IF(L32*1000&lt;M32*1000,TRUE,FALSE)</f>
        <v>1</v>
      </c>
      <c r="R32" s="12" t="b">
        <f>IF(N32*1000&gt;O32*1000,TRUE,FALSE)</f>
        <v>1</v>
      </c>
      <c r="S32" s="12" t="str">
        <f t="shared" si="0"/>
        <v>Satisfied</v>
      </c>
      <c r="T32" s="9">
        <v>30</v>
      </c>
      <c r="U32" s="9">
        <v>408000</v>
      </c>
      <c r="V32" s="9" t="s">
        <v>23</v>
      </c>
      <c r="W32" s="9">
        <v>418000</v>
      </c>
      <c r="X32" s="9" t="s">
        <v>23</v>
      </c>
      <c r="Y32" s="42">
        <f t="shared" si="4"/>
        <v>10000</v>
      </c>
      <c r="Z32" s="9" t="str">
        <f t="shared" si="5"/>
        <v>Non-Uniform</v>
      </c>
      <c r="AA32" s="21">
        <f t="shared" si="6"/>
        <v>2.4509803921568629</v>
      </c>
      <c r="AB32" s="34"/>
      <c r="AC32" s="30">
        <v>249688.80000000002</v>
      </c>
      <c r="AD32" s="30">
        <v>36305</v>
      </c>
      <c r="AE32" s="30">
        <v>37665</v>
      </c>
      <c r="AF32" s="30">
        <v>83187.7</v>
      </c>
      <c r="AG32" s="9">
        <v>406846.50000000006</v>
      </c>
      <c r="AH32" s="7"/>
      <c r="AI32" s="31">
        <v>103838.40000000001</v>
      </c>
      <c r="AJ32" s="31">
        <v>104505</v>
      </c>
      <c r="AK32" s="31">
        <v>104318.1</v>
      </c>
      <c r="AL32" s="31">
        <v>104441.09999999999</v>
      </c>
      <c r="AM32" s="35">
        <v>417102.6</v>
      </c>
    </row>
    <row r="33" spans="1:36" x14ac:dyDescent="0.2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10" t="s">
        <v>23</v>
      </c>
      <c r="S33" s="11">
        <f>COUNTIF(S3:S32,"Satisfied")</f>
        <v>15</v>
      </c>
      <c r="T33" s="4" t="s">
        <v>24</v>
      </c>
      <c r="U33" s="4">
        <f>SUM(U3:U32)</f>
        <v>17336000</v>
      </c>
      <c r="V33" s="4" t="str">
        <f>IF(U33&gt;W33,"&gt;",IF(U33=W33,"=","&lt;"))</f>
        <v>&lt;</v>
      </c>
      <c r="W33" s="4">
        <f>SUM(W3:W32)</f>
        <v>25451000</v>
      </c>
      <c r="X33" s="4" t="s">
        <v>25</v>
      </c>
      <c r="Y33" s="4">
        <f>SUM(Y3:Y32)</f>
        <v>8115000</v>
      </c>
      <c r="Z33" s="5" t="s">
        <v>26</v>
      </c>
      <c r="AA33" s="26">
        <f>AVERAGE(AA3:AA32)</f>
        <v>45.310504600423783</v>
      </c>
    </row>
    <row r="34" spans="1:36" x14ac:dyDescent="0.2">
      <c r="A34" s="7"/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3" t="s">
        <v>22</v>
      </c>
      <c r="S34" s="3">
        <f>COUNTIF(S3:S32,"Violated")</f>
        <v>15</v>
      </c>
      <c r="T34" s="7"/>
      <c r="U34" s="7"/>
      <c r="V34" s="7"/>
      <c r="W34" s="7"/>
      <c r="X34" s="7"/>
      <c r="Y34" s="7"/>
      <c r="Z34" s="5" t="s">
        <v>27</v>
      </c>
      <c r="AA34" s="26">
        <f>STDEV(AA3:AA32)</f>
        <v>69.303353793196067</v>
      </c>
    </row>
    <row r="35" spans="1:36" x14ac:dyDescent="0.2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2" t="s">
        <v>28</v>
      </c>
      <c r="AA35" s="27">
        <f>COUNTIF(Z3:Z32,"Uniform")</f>
        <v>8</v>
      </c>
      <c r="AF35" s="35" t="s">
        <v>44</v>
      </c>
      <c r="AG35" s="43" t="s">
        <v>40</v>
      </c>
      <c r="AH35" s="43"/>
      <c r="AI35" s="43"/>
      <c r="AJ35" s="43"/>
    </row>
    <row r="36" spans="1:36" x14ac:dyDescent="0.2">
      <c r="A36" s="7"/>
      <c r="B36" s="7"/>
      <c r="C36" s="7"/>
      <c r="D36" s="7"/>
      <c r="E36" s="7"/>
      <c r="F36" s="7"/>
      <c r="G36" s="7"/>
      <c r="H36" s="7"/>
      <c r="I36" s="7"/>
      <c r="J36" s="38" t="s">
        <v>32</v>
      </c>
      <c r="K36" s="38" t="s">
        <v>51</v>
      </c>
      <c r="L36" s="38" t="s">
        <v>31</v>
      </c>
      <c r="M36" s="38" t="s">
        <v>33</v>
      </c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3" t="s">
        <v>29</v>
      </c>
      <c r="AA36" s="27">
        <f>COUNTIF(Z3:Z32,"Non-uniform")</f>
        <v>22</v>
      </c>
      <c r="AF36" s="35" t="s">
        <v>45</v>
      </c>
      <c r="AG36" s="43" t="s">
        <v>41</v>
      </c>
      <c r="AH36" s="43"/>
      <c r="AI36" s="43"/>
      <c r="AJ36" s="43"/>
    </row>
    <row r="37" spans="1:36" x14ac:dyDescent="0.2">
      <c r="A37" s="7"/>
      <c r="B37" s="7"/>
      <c r="C37" s="7"/>
      <c r="D37" s="7"/>
      <c r="E37" s="7"/>
      <c r="F37" s="7"/>
      <c r="G37" s="7"/>
      <c r="H37" s="7"/>
      <c r="I37" s="7"/>
      <c r="J37" s="38">
        <v>2019</v>
      </c>
      <c r="K37" s="39">
        <v>3000000</v>
      </c>
      <c r="L37" s="38">
        <v>2000</v>
      </c>
      <c r="M37" s="38" t="s">
        <v>34</v>
      </c>
      <c r="N37" s="7"/>
      <c r="O37" s="7"/>
      <c r="P37" s="7"/>
      <c r="Q37" s="7"/>
      <c r="R37" s="7"/>
      <c r="S37" s="7"/>
      <c r="T37" s="7"/>
      <c r="U37" s="7"/>
      <c r="V37" s="7"/>
      <c r="W37" s="7"/>
      <c r="X37" s="8"/>
      <c r="Y37" s="7"/>
      <c r="Z37" s="3" t="s">
        <v>30</v>
      </c>
      <c r="AA37" s="27">
        <f>COUNTIF(Z3:Z32,"equal")</f>
        <v>0</v>
      </c>
      <c r="AF37" s="35" t="s">
        <v>46</v>
      </c>
      <c r="AG37" s="43" t="s">
        <v>42</v>
      </c>
      <c r="AH37" s="43"/>
      <c r="AI37" s="43"/>
      <c r="AJ37" s="43"/>
    </row>
    <row r="38" spans="1:36" x14ac:dyDescent="0.2">
      <c r="A38" s="7"/>
      <c r="B38" s="7"/>
      <c r="C38" s="7"/>
      <c r="D38" s="7"/>
      <c r="E38" s="7"/>
      <c r="F38" s="7"/>
      <c r="G38" s="7"/>
      <c r="H38" s="7"/>
      <c r="I38" s="7"/>
      <c r="J38" s="17">
        <v>2019</v>
      </c>
      <c r="K38" s="40">
        <v>3000000</v>
      </c>
      <c r="L38" s="17">
        <v>1000</v>
      </c>
      <c r="M38" s="17" t="s">
        <v>34</v>
      </c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 t="s">
        <v>24</v>
      </c>
      <c r="AA38" s="28">
        <f>SUM(AA35:AA37)</f>
        <v>30</v>
      </c>
      <c r="AF38" s="35" t="s">
        <v>47</v>
      </c>
      <c r="AG38" s="43" t="s">
        <v>43</v>
      </c>
      <c r="AH38" s="43"/>
      <c r="AI38" s="43"/>
      <c r="AJ38" s="43"/>
    </row>
    <row r="39" spans="1:36" x14ac:dyDescent="0.2">
      <c r="A39" s="7"/>
      <c r="B39" s="7"/>
      <c r="C39" s="7"/>
      <c r="D39" s="7"/>
      <c r="E39" s="7"/>
      <c r="F39" s="7"/>
      <c r="G39" s="7"/>
      <c r="H39" s="7"/>
      <c r="I39" s="7"/>
      <c r="J39" s="13">
        <v>2019</v>
      </c>
      <c r="K39" s="41">
        <v>5000000</v>
      </c>
      <c r="L39" s="13">
        <v>20000</v>
      </c>
      <c r="M39" s="13" t="s">
        <v>34</v>
      </c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Z39" s="7"/>
      <c r="AA39" s="24"/>
    </row>
    <row r="40" spans="1:36" x14ac:dyDescent="0.2">
      <c r="A40" s="7"/>
      <c r="B40" s="7"/>
      <c r="C40" s="7"/>
      <c r="D40" s="7"/>
      <c r="E40" s="7"/>
      <c r="F40" s="7"/>
      <c r="G40" s="7"/>
      <c r="H40" s="7"/>
      <c r="I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  <c r="AA40" s="24"/>
    </row>
    <row r="41" spans="1:36" x14ac:dyDescent="0.2">
      <c r="A41" s="7"/>
      <c r="B41" s="7"/>
      <c r="C41" s="7"/>
      <c r="D41" s="7"/>
      <c r="E41" s="7"/>
      <c r="F41" s="7"/>
      <c r="G41" s="7"/>
      <c r="H41" s="7"/>
      <c r="I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24"/>
    </row>
    <row r="42" spans="1:36" x14ac:dyDescent="0.2">
      <c r="A42" s="7"/>
      <c r="B42" s="7"/>
      <c r="C42" s="7"/>
      <c r="D42" s="7"/>
      <c r="E42" s="7"/>
      <c r="F42" s="7"/>
      <c r="G42" s="7"/>
      <c r="H42" s="7"/>
      <c r="I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24"/>
    </row>
    <row r="43" spans="1:36" x14ac:dyDescent="0.2">
      <c r="A43" s="7"/>
      <c r="B43" s="7"/>
      <c r="C43" s="7"/>
      <c r="D43" s="7"/>
      <c r="E43" s="7"/>
      <c r="F43" s="7"/>
      <c r="G43" s="7"/>
      <c r="H43" s="7"/>
      <c r="I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24"/>
    </row>
    <row r="44" spans="1:36" x14ac:dyDescent="0.2">
      <c r="A44" s="7"/>
      <c r="B44" s="7"/>
      <c r="C44" s="7"/>
      <c r="D44" s="7"/>
      <c r="E44" s="7"/>
      <c r="F44" s="7"/>
      <c r="G44" s="7"/>
      <c r="H44" s="7"/>
      <c r="I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24"/>
    </row>
    <row r="45" spans="1:36" x14ac:dyDescent="0.2">
      <c r="A45" s="7"/>
      <c r="B45" s="7"/>
      <c r="C45" s="7"/>
      <c r="D45" s="7"/>
      <c r="E45" s="7"/>
      <c r="F45" s="7"/>
      <c r="G45" s="7"/>
      <c r="H45" s="7"/>
      <c r="I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  <c r="AA45" s="24"/>
    </row>
    <row r="46" spans="1:36" x14ac:dyDescent="0.2">
      <c r="A46" s="7"/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16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24"/>
    </row>
    <row r="47" spans="1:36" x14ac:dyDescent="0.2">
      <c r="A47" s="7"/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  <c r="AA47" s="24"/>
    </row>
    <row r="48" spans="1:36" x14ac:dyDescent="0.2">
      <c r="A48" s="7"/>
      <c r="B48" s="7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  <c r="AA48" s="24"/>
    </row>
    <row r="49" spans="1:27" x14ac:dyDescent="0.2">
      <c r="A49" s="7"/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24"/>
    </row>
    <row r="50" spans="1:27" x14ac:dyDescent="0.2">
      <c r="A50" s="7"/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24"/>
    </row>
    <row r="51" spans="1:27" x14ac:dyDescent="0.2">
      <c r="A51" s="7"/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24"/>
    </row>
    <row r="52" spans="1:27" x14ac:dyDescent="0.2">
      <c r="A52" s="7"/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24"/>
    </row>
  </sheetData>
  <mergeCells count="33">
    <mergeCell ref="AM1:AM2"/>
    <mergeCell ref="AG35:AJ35"/>
    <mergeCell ref="F1:F2"/>
    <mergeCell ref="I1:I2"/>
    <mergeCell ref="H1:H2"/>
    <mergeCell ref="G1:G2"/>
    <mergeCell ref="Y1:Y2"/>
    <mergeCell ref="J1:J2"/>
    <mergeCell ref="K1:K2"/>
    <mergeCell ref="L1:L2"/>
    <mergeCell ref="M1:M2"/>
    <mergeCell ref="N1:N2"/>
    <mergeCell ref="O1:O2"/>
    <mergeCell ref="P1:P2"/>
    <mergeCell ref="Q1:Q2"/>
    <mergeCell ref="R1:R2"/>
    <mergeCell ref="S1:S2"/>
    <mergeCell ref="Z1:Z2"/>
    <mergeCell ref="AA1:AA2"/>
    <mergeCell ref="T1:T2"/>
    <mergeCell ref="U1:V1"/>
    <mergeCell ref="A1:A2"/>
    <mergeCell ref="B1:B2"/>
    <mergeCell ref="C1:C2"/>
    <mergeCell ref="D1:D2"/>
    <mergeCell ref="E1:E2"/>
    <mergeCell ref="AC1:AF1"/>
    <mergeCell ref="W1:X1"/>
    <mergeCell ref="AG36:AJ36"/>
    <mergeCell ref="AG37:AJ37"/>
    <mergeCell ref="AG38:AJ38"/>
    <mergeCell ref="AG1:AG2"/>
    <mergeCell ref="AI1:AL1"/>
  </mergeCells>
  <conditionalFormatting sqref="Z3:Z32">
    <cfRule type="expression" dxfId="0" priority="1">
      <formula>$AJ3="Non-Uniform"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90 s </vt:lpstr>
      <vt:lpstr>95 s</vt:lpstr>
      <vt:lpstr>99 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Microsoft Office User</cp:lastModifiedBy>
  <dcterms:created xsi:type="dcterms:W3CDTF">2020-11-09T21:48:05Z</dcterms:created>
  <dcterms:modified xsi:type="dcterms:W3CDTF">2021-03-10T07:32:44Z</dcterms:modified>
</cp:coreProperties>
</file>